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N:\Forschung\EBC0456_BMWi_dECOnhealth_NK_AT\Data\Modeling\ModelingInputs\BuildingPlanExcel\UKA\"/>
    </mc:Choice>
  </mc:AlternateContent>
  <bookViews>
    <workbookView xWindow="2250" yWindow="2250" windowWidth="21600" windowHeight="11400" tabRatio="797" firstSheet="2" activeTab="3"/>
  </bookViews>
  <sheets>
    <sheet name="GeneralNotes" sheetId="12" r:id="rId1"/>
    <sheet name="Usage_Types" sheetId="24" r:id="rId2"/>
    <sheet name="Orientation" sheetId="15" r:id="rId3"/>
    <sheet name="Constants" sheetId="14" r:id="rId4"/>
    <sheet name="B1" sheetId="25" r:id="rId5"/>
    <sheet name="B2" sheetId="50" r:id="rId6"/>
    <sheet name="C1" sheetId="31" r:id="rId7"/>
    <sheet name="C2" sheetId="51" r:id="rId8"/>
    <sheet name="01" sheetId="23" r:id="rId9"/>
    <sheet name="02" sheetId="26" r:id="rId10"/>
    <sheet name="03" sheetId="28" r:id="rId11"/>
    <sheet name="04" sheetId="29" r:id="rId12"/>
    <sheet name="05" sheetId="39" r:id="rId13"/>
    <sheet name="06" sheetId="40" r:id="rId14"/>
    <sheet name="07" sheetId="27" r:id="rId15"/>
    <sheet name="08" sheetId="32" r:id="rId16"/>
    <sheet name="09" sheetId="33" r:id="rId17"/>
    <sheet name="11" sheetId="36" r:id="rId18"/>
    <sheet name="12" sheetId="37" r:id="rId19"/>
    <sheet name="13" sheetId="38" r:id="rId20"/>
    <sheet name="14" sheetId="45" r:id="rId21"/>
    <sheet name="15" sheetId="46" r:id="rId22"/>
    <sheet name="16" sheetId="47" r:id="rId23"/>
    <sheet name="17" sheetId="48" r:id="rId24"/>
    <sheet name="18" sheetId="49" r:id="rId25"/>
    <sheet name="19" sheetId="30" r:id="rId26"/>
    <sheet name="20" sheetId="35" r:id="rId27"/>
    <sheet name="21" sheetId="41" r:id="rId28"/>
    <sheet name="22" sheetId="42" r:id="rId29"/>
    <sheet name="23" sheetId="43" r:id="rId30"/>
    <sheet name="24" sheetId="44" r:id="rId31"/>
  </sheet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I10" i="42" l="1"/>
  <c r="I8" i="42"/>
  <c r="I4" i="42"/>
  <c r="I6" i="42"/>
  <c r="L16" i="27" l="1"/>
  <c r="P16" i="27"/>
  <c r="Q16" i="27" s="1"/>
  <c r="V16" i="27"/>
  <c r="W16" i="27"/>
  <c r="S16" i="27" l="1"/>
  <c r="T16" i="27" s="1"/>
  <c r="N16" i="27"/>
  <c r="M16" i="27" s="1"/>
  <c r="H39" i="51"/>
  <c r="I39" i="51"/>
  <c r="I38" i="51"/>
  <c r="I37" i="51"/>
  <c r="I36" i="51"/>
  <c r="W35" i="51"/>
  <c r="V35" i="51"/>
  <c r="P35" i="51"/>
  <c r="Q35" i="51" s="1"/>
  <c r="L35" i="51"/>
  <c r="I35" i="51"/>
  <c r="W34" i="51"/>
  <c r="V34" i="51"/>
  <c r="P34" i="51"/>
  <c r="Q34" i="51" s="1"/>
  <c r="L34" i="51"/>
  <c r="I34" i="51"/>
  <c r="S34" i="51" s="1"/>
  <c r="T34" i="51" s="1"/>
  <c r="W33" i="51"/>
  <c r="V33" i="51"/>
  <c r="P33" i="51"/>
  <c r="Q33" i="51" s="1"/>
  <c r="L33" i="51"/>
  <c r="I33" i="51"/>
  <c r="W32" i="51"/>
  <c r="V32" i="51"/>
  <c r="P32" i="51"/>
  <c r="Q32" i="51" s="1"/>
  <c r="L32" i="51"/>
  <c r="I32" i="51"/>
  <c r="I31" i="51"/>
  <c r="S31" i="51" s="1"/>
  <c r="T31" i="51" s="1"/>
  <c r="I30" i="51"/>
  <c r="W31" i="51"/>
  <c r="V31" i="51"/>
  <c r="Q31" i="51"/>
  <c r="R31" i="51" s="1"/>
  <c r="P31" i="51"/>
  <c r="N31" i="51"/>
  <c r="M31" i="51" s="1"/>
  <c r="L31" i="51"/>
  <c r="I29" i="51"/>
  <c r="I28" i="51"/>
  <c r="I27" i="51"/>
  <c r="I26" i="51"/>
  <c r="W27" i="51"/>
  <c r="V27" i="51"/>
  <c r="S27" i="51"/>
  <c r="T27" i="51" s="1"/>
  <c r="P27" i="51"/>
  <c r="Q27" i="51" s="1"/>
  <c r="N27" i="51"/>
  <c r="M27" i="51" s="1"/>
  <c r="L27" i="51"/>
  <c r="W26" i="51"/>
  <c r="V26" i="51"/>
  <c r="S26" i="51"/>
  <c r="T26" i="51" s="1"/>
  <c r="P26" i="51"/>
  <c r="Q26" i="51" s="1"/>
  <c r="N26" i="51"/>
  <c r="M26" i="51" s="1"/>
  <c r="L26" i="51"/>
  <c r="I25" i="51"/>
  <c r="L28" i="51"/>
  <c r="P28" i="51"/>
  <c r="Q28" i="51" s="1"/>
  <c r="V28" i="51"/>
  <c r="W28" i="51"/>
  <c r="L29" i="51"/>
  <c r="P29" i="51"/>
  <c r="N29" i="51" s="1"/>
  <c r="M29" i="51" s="1"/>
  <c r="V29" i="51"/>
  <c r="W29" i="51"/>
  <c r="L30" i="51"/>
  <c r="P30" i="51"/>
  <c r="N30" i="51" s="1"/>
  <c r="V30" i="51"/>
  <c r="W30" i="51"/>
  <c r="I24" i="51"/>
  <c r="S24" i="51" s="1"/>
  <c r="T24" i="51" s="1"/>
  <c r="W23" i="51"/>
  <c r="V23" i="51"/>
  <c r="P23" i="51"/>
  <c r="Q23" i="51" s="1"/>
  <c r="L23" i="51"/>
  <c r="I23" i="51"/>
  <c r="W22" i="51"/>
  <c r="V22" i="51"/>
  <c r="P22" i="51"/>
  <c r="Q22" i="51" s="1"/>
  <c r="N22" i="51"/>
  <c r="M22" i="51" s="1"/>
  <c r="L22" i="51"/>
  <c r="I22" i="51"/>
  <c r="S22" i="51" s="1"/>
  <c r="T22" i="51" s="1"/>
  <c r="W21" i="51"/>
  <c r="V21" i="51"/>
  <c r="P21" i="51"/>
  <c r="N21" i="51" s="1"/>
  <c r="M21" i="51" s="1"/>
  <c r="L21" i="51"/>
  <c r="I21" i="51"/>
  <c r="I20" i="51"/>
  <c r="I19" i="51"/>
  <c r="I18" i="51"/>
  <c r="I17" i="51"/>
  <c r="I16" i="51"/>
  <c r="W15" i="51"/>
  <c r="V15" i="51"/>
  <c r="P15" i="51"/>
  <c r="Q15" i="51" s="1"/>
  <c r="L15" i="51"/>
  <c r="I15" i="51"/>
  <c r="W14" i="51"/>
  <c r="V14" i="51"/>
  <c r="P14" i="51"/>
  <c r="Q14" i="51" s="1"/>
  <c r="L14" i="51"/>
  <c r="I14" i="51"/>
  <c r="W13" i="51"/>
  <c r="V13" i="51"/>
  <c r="P13" i="51"/>
  <c r="Q13" i="51" s="1"/>
  <c r="L13" i="51"/>
  <c r="I13" i="51"/>
  <c r="S13" i="51" s="1"/>
  <c r="T13" i="51" s="1"/>
  <c r="I12" i="51"/>
  <c r="L12" i="51"/>
  <c r="P12" i="51"/>
  <c r="N12" i="51" s="1"/>
  <c r="M12" i="51" s="1"/>
  <c r="V12" i="51"/>
  <c r="W12" i="51"/>
  <c r="L16" i="51"/>
  <c r="P16" i="51"/>
  <c r="N16" i="51" s="1"/>
  <c r="M16" i="51" s="1"/>
  <c r="V16" i="51"/>
  <c r="W16" i="51"/>
  <c r="P17" i="51"/>
  <c r="L17" i="51"/>
  <c r="V17" i="51"/>
  <c r="W17" i="51"/>
  <c r="L18" i="51"/>
  <c r="P18" i="51"/>
  <c r="Q18" i="51" s="1"/>
  <c r="V18" i="51"/>
  <c r="W18" i="51"/>
  <c r="L19" i="51"/>
  <c r="P19" i="51"/>
  <c r="Q19" i="51" s="1"/>
  <c r="V19" i="51"/>
  <c r="W19" i="51"/>
  <c r="L20" i="51"/>
  <c r="P20" i="51"/>
  <c r="Q20" i="51" s="1"/>
  <c r="V20" i="51"/>
  <c r="W20" i="51"/>
  <c r="L24" i="51"/>
  <c r="P24" i="51"/>
  <c r="Q24" i="51" s="1"/>
  <c r="V24" i="51"/>
  <c r="W24" i="51"/>
  <c r="S25" i="51"/>
  <c r="T25" i="51" s="1"/>
  <c r="L25" i="51"/>
  <c r="P25" i="51"/>
  <c r="Q25" i="51" s="1"/>
  <c r="V25" i="51"/>
  <c r="W25" i="51"/>
  <c r="W11" i="51"/>
  <c r="V11" i="51"/>
  <c r="P11" i="51"/>
  <c r="Q11" i="51" s="1"/>
  <c r="L11" i="51"/>
  <c r="I11" i="51"/>
  <c r="W10" i="51"/>
  <c r="V10" i="51"/>
  <c r="L10" i="51"/>
  <c r="I10" i="51"/>
  <c r="H10" i="51"/>
  <c r="P10" i="51" s="1"/>
  <c r="Q10" i="51" s="1"/>
  <c r="W9" i="51"/>
  <c r="V9" i="51"/>
  <c r="P9" i="51"/>
  <c r="Q9" i="51" s="1"/>
  <c r="L9" i="51"/>
  <c r="I9" i="51"/>
  <c r="W8" i="51"/>
  <c r="V8" i="51"/>
  <c r="P8" i="51"/>
  <c r="Q8" i="51" s="1"/>
  <c r="L8" i="51"/>
  <c r="I8" i="51"/>
  <c r="W7" i="51"/>
  <c r="V7" i="51"/>
  <c r="P7" i="51"/>
  <c r="N7" i="51" s="1"/>
  <c r="M7" i="51" s="1"/>
  <c r="L7" i="51"/>
  <c r="I7" i="51"/>
  <c r="H7" i="51"/>
  <c r="W6" i="51"/>
  <c r="V6" i="51"/>
  <c r="P6" i="51"/>
  <c r="Q6" i="51" s="1"/>
  <c r="L6" i="51"/>
  <c r="I6" i="51"/>
  <c r="W5" i="51"/>
  <c r="V5" i="51"/>
  <c r="P5" i="51"/>
  <c r="N5" i="51" s="1"/>
  <c r="M5" i="51" s="1"/>
  <c r="L5" i="51"/>
  <c r="I5" i="51"/>
  <c r="W4" i="51"/>
  <c r="V4" i="51"/>
  <c r="P4" i="51"/>
  <c r="Q4" i="51" s="1"/>
  <c r="L4" i="51"/>
  <c r="W3" i="51"/>
  <c r="V3" i="51"/>
  <c r="L3" i="51"/>
  <c r="H3" i="51"/>
  <c r="P3" i="51" s="1"/>
  <c r="W23" i="31"/>
  <c r="V23" i="31"/>
  <c r="L23" i="31"/>
  <c r="I23" i="31"/>
  <c r="H23" i="31"/>
  <c r="P23" i="31" s="1"/>
  <c r="F23" i="31"/>
  <c r="I21" i="31"/>
  <c r="I19" i="31"/>
  <c r="I18" i="31"/>
  <c r="H18" i="31"/>
  <c r="I13" i="31"/>
  <c r="I12" i="31"/>
  <c r="I10" i="31"/>
  <c r="L10" i="31"/>
  <c r="P10" i="31"/>
  <c r="Q10" i="31" s="1"/>
  <c r="V10" i="31"/>
  <c r="W10" i="31"/>
  <c r="R16" i="27" l="1"/>
  <c r="S29" i="51"/>
  <c r="T29" i="51" s="1"/>
  <c r="S19" i="51"/>
  <c r="T19" i="51" s="1"/>
  <c r="S15" i="51"/>
  <c r="T15" i="51" s="1"/>
  <c r="R27" i="51"/>
  <c r="S32" i="51"/>
  <c r="T32" i="51" s="1"/>
  <c r="N34" i="51"/>
  <c r="M34" i="51" s="1"/>
  <c r="S28" i="51"/>
  <c r="T28" i="51" s="1"/>
  <c r="S33" i="51"/>
  <c r="T33" i="51" s="1"/>
  <c r="S35" i="51"/>
  <c r="T35" i="51" s="1"/>
  <c r="Q29" i="51"/>
  <c r="R29" i="51" s="1"/>
  <c r="R26" i="51"/>
  <c r="N35" i="51"/>
  <c r="M35" i="51" s="1"/>
  <c r="N33" i="51"/>
  <c r="M33" i="51" s="1"/>
  <c r="N32" i="51"/>
  <c r="M32" i="51" s="1"/>
  <c r="S30" i="51"/>
  <c r="T30" i="51" s="1"/>
  <c r="Q30" i="51"/>
  <c r="R30" i="51" s="1"/>
  <c r="M30" i="51"/>
  <c r="N28" i="51"/>
  <c r="M28" i="51" s="1"/>
  <c r="N18" i="51"/>
  <c r="M18" i="51" s="1"/>
  <c r="S21" i="51"/>
  <c r="T21" i="51" s="1"/>
  <c r="R22" i="51"/>
  <c r="S23" i="51"/>
  <c r="T23" i="51" s="1"/>
  <c r="R18" i="51"/>
  <c r="S14" i="51"/>
  <c r="T14" i="51" s="1"/>
  <c r="S20" i="51"/>
  <c r="T20" i="51" s="1"/>
  <c r="S18" i="51"/>
  <c r="T18" i="51" s="1"/>
  <c r="N14" i="51"/>
  <c r="M14" i="51" s="1"/>
  <c r="N24" i="51"/>
  <c r="M24" i="51" s="1"/>
  <c r="N23" i="51"/>
  <c r="M23" i="51" s="1"/>
  <c r="Q21" i="51"/>
  <c r="R21" i="51" s="1"/>
  <c r="S16" i="51"/>
  <c r="T16" i="51" s="1"/>
  <c r="Q16" i="51"/>
  <c r="R16" i="51" s="1"/>
  <c r="N15" i="51"/>
  <c r="M15" i="51" s="1"/>
  <c r="N13" i="51"/>
  <c r="M13" i="51" s="1"/>
  <c r="Q12" i="51"/>
  <c r="R12" i="51" s="1"/>
  <c r="S12" i="51"/>
  <c r="T12" i="51" s="1"/>
  <c r="N17" i="51"/>
  <c r="M17" i="51" s="1"/>
  <c r="S17" i="51"/>
  <c r="T17" i="51" s="1"/>
  <c r="Q17" i="51"/>
  <c r="N25" i="51"/>
  <c r="M25" i="51" s="1"/>
  <c r="N20" i="51"/>
  <c r="M20" i="51" s="1"/>
  <c r="N19" i="51"/>
  <c r="M19" i="51" s="1"/>
  <c r="S11" i="51"/>
  <c r="T11" i="51" s="1"/>
  <c r="N4" i="51"/>
  <c r="M4" i="51" s="1"/>
  <c r="S8" i="51"/>
  <c r="T8" i="51" s="1"/>
  <c r="S4" i="51"/>
  <c r="T4" i="51" s="1"/>
  <c r="S6" i="51"/>
  <c r="T6" i="51" s="1"/>
  <c r="N8" i="51"/>
  <c r="M8" i="51" s="1"/>
  <c r="S5" i="51"/>
  <c r="T5" i="51" s="1"/>
  <c r="N11" i="51"/>
  <c r="M11" i="51" s="1"/>
  <c r="S7" i="51"/>
  <c r="T7" i="51" s="1"/>
  <c r="N6" i="51"/>
  <c r="M6" i="51" s="1"/>
  <c r="S9" i="51"/>
  <c r="T9" i="51" s="1"/>
  <c r="S10" i="51"/>
  <c r="T10" i="51" s="1"/>
  <c r="N3" i="51"/>
  <c r="M3" i="51" s="1"/>
  <c r="S3" i="51"/>
  <c r="T3" i="51" s="1"/>
  <c r="Q3" i="51"/>
  <c r="Q5" i="51"/>
  <c r="R5" i="51" s="1"/>
  <c r="Q7" i="51"/>
  <c r="R7" i="51" s="1"/>
  <c r="N9" i="51"/>
  <c r="M9" i="51" s="1"/>
  <c r="N10" i="51"/>
  <c r="M10" i="51" s="1"/>
  <c r="N23" i="31"/>
  <c r="M23" i="31" s="1"/>
  <c r="Q23" i="31"/>
  <c r="S23" i="31"/>
  <c r="T23" i="31" s="1"/>
  <c r="S10" i="31"/>
  <c r="T10" i="31" s="1"/>
  <c r="N10" i="31"/>
  <c r="M10" i="31" s="1"/>
  <c r="I28" i="50"/>
  <c r="H28" i="50"/>
  <c r="I27" i="50"/>
  <c r="I25" i="50"/>
  <c r="I24" i="50"/>
  <c r="I23" i="50"/>
  <c r="I22" i="50"/>
  <c r="I21" i="50"/>
  <c r="I19" i="50"/>
  <c r="I18" i="50"/>
  <c r="I17" i="50"/>
  <c r="H17" i="50"/>
  <c r="I16" i="50"/>
  <c r="H16" i="50"/>
  <c r="I15" i="50"/>
  <c r="S15" i="50" s="1"/>
  <c r="T15" i="50" s="1"/>
  <c r="I14" i="50"/>
  <c r="L15" i="50"/>
  <c r="P15" i="50"/>
  <c r="Q15" i="50" s="1"/>
  <c r="V15" i="50"/>
  <c r="W15" i="50"/>
  <c r="L14" i="50"/>
  <c r="P14" i="50"/>
  <c r="N14" i="50" s="1"/>
  <c r="M14" i="50" s="1"/>
  <c r="V14" i="50"/>
  <c r="W14" i="50"/>
  <c r="I11" i="50"/>
  <c r="L11" i="50"/>
  <c r="P11" i="50"/>
  <c r="N11" i="50" s="1"/>
  <c r="M11" i="50" s="1"/>
  <c r="Q11" i="50"/>
  <c r="V11" i="50"/>
  <c r="W11" i="50"/>
  <c r="I6" i="50"/>
  <c r="I5" i="50"/>
  <c r="I4" i="50"/>
  <c r="I3" i="50"/>
  <c r="H3" i="50"/>
  <c r="L16" i="25"/>
  <c r="P16" i="25"/>
  <c r="S16" i="25" s="1"/>
  <c r="T16" i="25" s="1"/>
  <c r="V16" i="25"/>
  <c r="W16" i="25"/>
  <c r="L10" i="25"/>
  <c r="P10" i="25"/>
  <c r="S10" i="25" s="1"/>
  <c r="T10" i="25" s="1"/>
  <c r="Q10" i="25"/>
  <c r="V10" i="25"/>
  <c r="W10" i="25"/>
  <c r="H9" i="25"/>
  <c r="R34" i="51" l="1"/>
  <c r="R4" i="51"/>
  <c r="R35" i="51"/>
  <c r="R33" i="51"/>
  <c r="R32" i="51"/>
  <c r="R28" i="51"/>
  <c r="R15" i="51"/>
  <c r="R14" i="51"/>
  <c r="R24" i="51"/>
  <c r="R23" i="51"/>
  <c r="R20" i="51"/>
  <c r="R17" i="51"/>
  <c r="R13" i="51"/>
  <c r="R19" i="51"/>
  <c r="R25" i="51"/>
  <c r="R8" i="51"/>
  <c r="R11" i="51"/>
  <c r="R6" i="51"/>
  <c r="R9" i="51"/>
  <c r="R3" i="51"/>
  <c r="R10" i="51"/>
  <c r="R23" i="31"/>
  <c r="R10" i="31"/>
  <c r="N15" i="50"/>
  <c r="M15" i="50" s="1"/>
  <c r="Q14" i="50"/>
  <c r="R14" i="50" s="1"/>
  <c r="S14" i="50"/>
  <c r="T14" i="50" s="1"/>
  <c r="S11" i="50"/>
  <c r="T11" i="50" s="1"/>
  <c r="R11" i="50"/>
  <c r="Q16" i="25"/>
  <c r="N16" i="25"/>
  <c r="M16" i="25" s="1"/>
  <c r="N10" i="25"/>
  <c r="M10" i="25" s="1"/>
  <c r="I29" i="44"/>
  <c r="I28" i="44"/>
  <c r="I27" i="44"/>
  <c r="S27" i="44" s="1"/>
  <c r="T27" i="44" s="1"/>
  <c r="H27" i="44"/>
  <c r="L27" i="44"/>
  <c r="P27" i="44"/>
  <c r="Q27" i="44" s="1"/>
  <c r="V27" i="44"/>
  <c r="W27" i="44"/>
  <c r="P28" i="44"/>
  <c r="L28" i="44"/>
  <c r="V28" i="44"/>
  <c r="W28" i="44"/>
  <c r="L29" i="44"/>
  <c r="P29" i="44"/>
  <c r="Q29" i="44" s="1"/>
  <c r="V29" i="44"/>
  <c r="W29" i="44"/>
  <c r="I26" i="44"/>
  <c r="I24" i="44"/>
  <c r="I23" i="44"/>
  <c r="I22" i="44"/>
  <c r="I21" i="44"/>
  <c r="I20" i="44"/>
  <c r="I19" i="44"/>
  <c r="I18" i="44"/>
  <c r="I17" i="44"/>
  <c r="I12" i="44"/>
  <c r="I11" i="44"/>
  <c r="I10" i="44"/>
  <c r="I9" i="44"/>
  <c r="I8" i="44"/>
  <c r="I7" i="44"/>
  <c r="I6" i="44"/>
  <c r="I5" i="44"/>
  <c r="I4" i="44"/>
  <c r="I3" i="44"/>
  <c r="I2" i="44"/>
  <c r="I41" i="43"/>
  <c r="I35" i="43"/>
  <c r="W30" i="43"/>
  <c r="V30" i="43"/>
  <c r="P30" i="43"/>
  <c r="S30" i="43" s="1"/>
  <c r="T30" i="43" s="1"/>
  <c r="L30" i="43"/>
  <c r="I29" i="43"/>
  <c r="H29" i="43"/>
  <c r="I28" i="43"/>
  <c r="I23" i="43"/>
  <c r="I22" i="43"/>
  <c r="W19" i="43"/>
  <c r="V19" i="43"/>
  <c r="P19" i="43"/>
  <c r="S19" i="43" s="1"/>
  <c r="T19" i="43" s="1"/>
  <c r="L19" i="43"/>
  <c r="I18" i="43"/>
  <c r="L18" i="43"/>
  <c r="P18" i="43"/>
  <c r="Q18" i="43" s="1"/>
  <c r="V18" i="43"/>
  <c r="W18" i="43"/>
  <c r="I17" i="43"/>
  <c r="I16" i="43"/>
  <c r="I15" i="43"/>
  <c r="L14" i="43"/>
  <c r="P14" i="43"/>
  <c r="Q14" i="43" s="1"/>
  <c r="V14" i="43"/>
  <c r="W14" i="43"/>
  <c r="I13" i="43"/>
  <c r="I11" i="43"/>
  <c r="I9" i="43"/>
  <c r="I7" i="43"/>
  <c r="I2" i="43"/>
  <c r="F27" i="43"/>
  <c r="I40" i="42"/>
  <c r="I34" i="42"/>
  <c r="I30" i="42"/>
  <c r="L30" i="42"/>
  <c r="N30" i="42"/>
  <c r="M30" i="42" s="1"/>
  <c r="P30" i="42"/>
  <c r="Q30" i="42"/>
  <c r="V30" i="42"/>
  <c r="W30" i="42"/>
  <c r="I29" i="42"/>
  <c r="I28" i="42"/>
  <c r="I27" i="42"/>
  <c r="W27" i="42"/>
  <c r="V27" i="42"/>
  <c r="P27" i="42"/>
  <c r="Q27" i="42" s="1"/>
  <c r="L27" i="42"/>
  <c r="I26" i="42"/>
  <c r="I17" i="42"/>
  <c r="I16" i="42"/>
  <c r="I15" i="42"/>
  <c r="L14" i="42"/>
  <c r="P14" i="42"/>
  <c r="N14" i="42" s="1"/>
  <c r="V14" i="42"/>
  <c r="W14" i="42"/>
  <c r="I13" i="42"/>
  <c r="W12" i="42"/>
  <c r="V12" i="42"/>
  <c r="P12" i="42"/>
  <c r="Q12" i="42" s="1"/>
  <c r="L12" i="42"/>
  <c r="I11" i="42"/>
  <c r="L11" i="42"/>
  <c r="P11" i="42"/>
  <c r="N11" i="42" s="1"/>
  <c r="V11" i="42"/>
  <c r="W11" i="42"/>
  <c r="I9" i="42"/>
  <c r="I7" i="42"/>
  <c r="H7" i="42"/>
  <c r="I2" i="42"/>
  <c r="F23" i="42"/>
  <c r="I3" i="41"/>
  <c r="I2" i="41"/>
  <c r="I26" i="35"/>
  <c r="L26" i="35"/>
  <c r="P26" i="35"/>
  <c r="Q26" i="35" s="1"/>
  <c r="V26" i="35"/>
  <c r="W26" i="35"/>
  <c r="I5" i="35"/>
  <c r="L5" i="35"/>
  <c r="P5" i="35"/>
  <c r="Q5" i="35" s="1"/>
  <c r="V5" i="35"/>
  <c r="W5" i="35"/>
  <c r="W27" i="35"/>
  <c r="V27" i="35"/>
  <c r="S27" i="35"/>
  <c r="T27" i="35" s="1"/>
  <c r="P27" i="35"/>
  <c r="Q27" i="35" s="1"/>
  <c r="N27" i="35"/>
  <c r="M27" i="35" s="1"/>
  <c r="L27" i="35"/>
  <c r="W25" i="35"/>
  <c r="V25" i="35"/>
  <c r="Q25" i="35"/>
  <c r="P25" i="35"/>
  <c r="N25" i="35"/>
  <c r="M25" i="35" s="1"/>
  <c r="L25" i="35"/>
  <c r="I25" i="35"/>
  <c r="S25" i="35" s="1"/>
  <c r="T25" i="35" s="1"/>
  <c r="W24" i="35"/>
  <c r="V24" i="35"/>
  <c r="P24" i="35"/>
  <c r="N24" i="35" s="1"/>
  <c r="M24" i="35" s="1"/>
  <c r="L24" i="35"/>
  <c r="I24" i="35"/>
  <c r="W23" i="35"/>
  <c r="V23" i="35"/>
  <c r="S23" i="35"/>
  <c r="T23" i="35" s="1"/>
  <c r="P23" i="35"/>
  <c r="Q23" i="35" s="1"/>
  <c r="N23" i="35"/>
  <c r="M23" i="35" s="1"/>
  <c r="L23" i="35"/>
  <c r="I23" i="35"/>
  <c r="W22" i="35"/>
  <c r="V22" i="35"/>
  <c r="P22" i="35"/>
  <c r="Q22" i="35" s="1"/>
  <c r="L22" i="35"/>
  <c r="I22" i="35"/>
  <c r="W21" i="35"/>
  <c r="V21" i="35"/>
  <c r="P21" i="35"/>
  <c r="Q21" i="35" s="1"/>
  <c r="N21" i="35"/>
  <c r="M21" i="35" s="1"/>
  <c r="L21" i="35"/>
  <c r="I21" i="35"/>
  <c r="S21" i="35" s="1"/>
  <c r="T21" i="35" s="1"/>
  <c r="W20" i="35"/>
  <c r="V20" i="35"/>
  <c r="P20" i="35"/>
  <c r="N20" i="35" s="1"/>
  <c r="M20" i="35" s="1"/>
  <c r="L20" i="35"/>
  <c r="I20" i="35"/>
  <c r="S20" i="35" s="1"/>
  <c r="T20" i="35" s="1"/>
  <c r="W19" i="35"/>
  <c r="V19" i="35"/>
  <c r="P19" i="35"/>
  <c r="Q19" i="35" s="1"/>
  <c r="L19" i="35"/>
  <c r="I19" i="35"/>
  <c r="S19" i="35" s="1"/>
  <c r="T19" i="35" s="1"/>
  <c r="W18" i="35"/>
  <c r="V18" i="35"/>
  <c r="P18" i="35"/>
  <c r="Q18" i="35" s="1"/>
  <c r="L18" i="35"/>
  <c r="W17" i="35"/>
  <c r="V17" i="35"/>
  <c r="P17" i="35"/>
  <c r="N17" i="35" s="1"/>
  <c r="M17" i="35" s="1"/>
  <c r="L17" i="35"/>
  <c r="I17" i="35"/>
  <c r="S17" i="35" s="1"/>
  <c r="T17" i="35" s="1"/>
  <c r="W16" i="35"/>
  <c r="V16" i="35"/>
  <c r="Q16" i="35"/>
  <c r="P16" i="35"/>
  <c r="N16" i="35"/>
  <c r="M16" i="35" s="1"/>
  <c r="L16" i="35"/>
  <c r="I16" i="35"/>
  <c r="S16" i="35" s="1"/>
  <c r="T16" i="35" s="1"/>
  <c r="W15" i="35"/>
  <c r="V15" i="35"/>
  <c r="P15" i="35"/>
  <c r="Q15" i="35" s="1"/>
  <c r="L15" i="35"/>
  <c r="I15" i="35"/>
  <c r="W14" i="35"/>
  <c r="V14" i="35"/>
  <c r="S14" i="35"/>
  <c r="T14" i="35" s="1"/>
  <c r="P14" i="35"/>
  <c r="Q14" i="35" s="1"/>
  <c r="N14" i="35"/>
  <c r="M14" i="35" s="1"/>
  <c r="L14" i="35"/>
  <c r="I14" i="35"/>
  <c r="W13" i="35"/>
  <c r="V13" i="35"/>
  <c r="P13" i="35"/>
  <c r="N13" i="35" s="1"/>
  <c r="M13" i="35" s="1"/>
  <c r="L13" i="35"/>
  <c r="I13" i="35"/>
  <c r="W12" i="35"/>
  <c r="V12" i="35"/>
  <c r="P12" i="35"/>
  <c r="Q12" i="35" s="1"/>
  <c r="N12" i="35"/>
  <c r="M12" i="35" s="1"/>
  <c r="L12" i="35"/>
  <c r="I12" i="35"/>
  <c r="S12" i="35" s="1"/>
  <c r="T12" i="35" s="1"/>
  <c r="W11" i="35"/>
  <c r="V11" i="35"/>
  <c r="P11" i="35"/>
  <c r="Q11" i="35" s="1"/>
  <c r="L11" i="35"/>
  <c r="I11" i="35"/>
  <c r="S11" i="35" s="1"/>
  <c r="T11" i="35" s="1"/>
  <c r="W10" i="35"/>
  <c r="V10" i="35"/>
  <c r="P10" i="35"/>
  <c r="Q10" i="35" s="1"/>
  <c r="L10" i="35"/>
  <c r="I10" i="35"/>
  <c r="S10" i="35" s="1"/>
  <c r="T10" i="35" s="1"/>
  <c r="W9" i="35"/>
  <c r="V9" i="35"/>
  <c r="P9" i="35"/>
  <c r="N9" i="35" s="1"/>
  <c r="M9" i="35" s="1"/>
  <c r="L9" i="35"/>
  <c r="I9" i="35"/>
  <c r="S9" i="35" s="1"/>
  <c r="T9" i="35" s="1"/>
  <c r="H9" i="35"/>
  <c r="W8" i="35"/>
  <c r="V8" i="35"/>
  <c r="P8" i="35"/>
  <c r="N8" i="35" s="1"/>
  <c r="M8" i="35" s="1"/>
  <c r="L8" i="35"/>
  <c r="I8" i="35"/>
  <c r="W7" i="35"/>
  <c r="V7" i="35"/>
  <c r="P7" i="35"/>
  <c r="Q7" i="35" s="1"/>
  <c r="N7" i="35"/>
  <c r="M7" i="35" s="1"/>
  <c r="L7" i="35"/>
  <c r="I7" i="35"/>
  <c r="S7" i="35" s="1"/>
  <c r="T7" i="35" s="1"/>
  <c r="W6" i="35"/>
  <c r="V6" i="35"/>
  <c r="P6" i="35"/>
  <c r="Q6" i="35" s="1"/>
  <c r="L6" i="35"/>
  <c r="I6" i="35"/>
  <c r="S6" i="35" s="1"/>
  <c r="T6" i="35" s="1"/>
  <c r="W4" i="35"/>
  <c r="V4" i="35"/>
  <c r="P4" i="35"/>
  <c r="Q4" i="35" s="1"/>
  <c r="L4" i="35"/>
  <c r="I4" i="35"/>
  <c r="S4" i="35" s="1"/>
  <c r="T4" i="35" s="1"/>
  <c r="W3" i="35"/>
  <c r="V3" i="35"/>
  <c r="P3" i="35"/>
  <c r="S3" i="35" s="1"/>
  <c r="T3" i="35" s="1"/>
  <c r="L3" i="35"/>
  <c r="W2" i="35"/>
  <c r="V2" i="35"/>
  <c r="P2" i="35"/>
  <c r="Q2" i="35" s="1"/>
  <c r="N2" i="35"/>
  <c r="M2" i="35" s="1"/>
  <c r="L2" i="35"/>
  <c r="L2" i="30"/>
  <c r="N2" i="30"/>
  <c r="R2" i="30" s="1"/>
  <c r="P2" i="30"/>
  <c r="Q2" i="30"/>
  <c r="S2" i="30"/>
  <c r="T2" i="30" s="1"/>
  <c r="V2" i="30"/>
  <c r="W2" i="30"/>
  <c r="L3" i="30"/>
  <c r="P3" i="30"/>
  <c r="N3" i="30" s="1"/>
  <c r="M3" i="30" s="1"/>
  <c r="Q3" i="30"/>
  <c r="R3" i="30" s="1"/>
  <c r="V3" i="30"/>
  <c r="W3" i="30"/>
  <c r="I4" i="30"/>
  <c r="S4" i="30" s="1"/>
  <c r="T4" i="30" s="1"/>
  <c r="L4" i="30"/>
  <c r="P4" i="30"/>
  <c r="N4" i="30" s="1"/>
  <c r="Q4" i="30"/>
  <c r="V4" i="30"/>
  <c r="W4" i="30"/>
  <c r="I5" i="30"/>
  <c r="L5" i="30"/>
  <c r="N5" i="30"/>
  <c r="M5" i="30" s="1"/>
  <c r="P5" i="30"/>
  <c r="Q5" i="30"/>
  <c r="S5" i="30"/>
  <c r="T5" i="30" s="1"/>
  <c r="V5" i="30"/>
  <c r="W5" i="30"/>
  <c r="I6" i="30"/>
  <c r="S6" i="30" s="1"/>
  <c r="T6" i="30" s="1"/>
  <c r="L6" i="30"/>
  <c r="P6" i="30"/>
  <c r="Q6" i="30" s="1"/>
  <c r="V6" i="30"/>
  <c r="W6" i="30"/>
  <c r="I7" i="30"/>
  <c r="S7" i="30" s="1"/>
  <c r="T7" i="30" s="1"/>
  <c r="L7" i="30"/>
  <c r="P7" i="30"/>
  <c r="N7" i="30" s="1"/>
  <c r="M7" i="30" s="1"/>
  <c r="Q7" i="30"/>
  <c r="V7" i="30"/>
  <c r="W7" i="30"/>
  <c r="H8" i="30"/>
  <c r="I8" i="30"/>
  <c r="S8" i="30" s="1"/>
  <c r="T8" i="30" s="1"/>
  <c r="L8" i="30"/>
  <c r="P8" i="30"/>
  <c r="N8" i="30" s="1"/>
  <c r="M8" i="30" s="1"/>
  <c r="Q8" i="30"/>
  <c r="V8" i="30"/>
  <c r="W8" i="30"/>
  <c r="I9" i="30"/>
  <c r="L9" i="30"/>
  <c r="M9" i="30"/>
  <c r="N9" i="30"/>
  <c r="P9" i="30"/>
  <c r="Q9" i="30"/>
  <c r="R9" i="30"/>
  <c r="S9" i="30"/>
  <c r="T9" i="30" s="1"/>
  <c r="V9" i="30"/>
  <c r="W9" i="30"/>
  <c r="I10" i="30"/>
  <c r="L10" i="30"/>
  <c r="N10" i="30"/>
  <c r="M10" i="30" s="1"/>
  <c r="P10" i="30"/>
  <c r="Q10" i="30" s="1"/>
  <c r="R10" i="30" s="1"/>
  <c r="S10" i="30"/>
  <c r="T10" i="30" s="1"/>
  <c r="V10" i="30"/>
  <c r="W10" i="30"/>
  <c r="I11" i="30"/>
  <c r="S11" i="30" s="1"/>
  <c r="T11" i="30" s="1"/>
  <c r="L11" i="30"/>
  <c r="P11" i="30"/>
  <c r="Q11" i="30" s="1"/>
  <c r="V11" i="30"/>
  <c r="W11" i="30"/>
  <c r="I12" i="30"/>
  <c r="S12" i="30" s="1"/>
  <c r="T12" i="30" s="1"/>
  <c r="L12" i="30"/>
  <c r="P12" i="30"/>
  <c r="N12" i="30" s="1"/>
  <c r="M12" i="30" s="1"/>
  <c r="Q12" i="30"/>
  <c r="R12" i="30" s="1"/>
  <c r="V12" i="30"/>
  <c r="W12" i="30"/>
  <c r="I13" i="30"/>
  <c r="L13" i="30"/>
  <c r="P13" i="30"/>
  <c r="N13" i="30" s="1"/>
  <c r="Q13" i="30"/>
  <c r="S13" i="30"/>
  <c r="T13" i="30" s="1"/>
  <c r="V13" i="30"/>
  <c r="W13" i="30"/>
  <c r="I14" i="30"/>
  <c r="L14" i="30"/>
  <c r="N14" i="30"/>
  <c r="M14" i="30" s="1"/>
  <c r="P14" i="30"/>
  <c r="Q14" i="30" s="1"/>
  <c r="S14" i="30"/>
  <c r="T14" i="30" s="1"/>
  <c r="V14" i="30"/>
  <c r="W14" i="30"/>
  <c r="I15" i="30"/>
  <c r="S15" i="30" s="1"/>
  <c r="T15" i="30" s="1"/>
  <c r="L15" i="30"/>
  <c r="P15" i="30"/>
  <c r="N15" i="30" s="1"/>
  <c r="M15" i="30" s="1"/>
  <c r="V15" i="30"/>
  <c r="W15" i="30"/>
  <c r="I16" i="30"/>
  <c r="S16" i="30" s="1"/>
  <c r="T16" i="30" s="1"/>
  <c r="L16" i="30"/>
  <c r="P16" i="30"/>
  <c r="N16" i="30" s="1"/>
  <c r="M16" i="30" s="1"/>
  <c r="Q16" i="30"/>
  <c r="V16" i="30"/>
  <c r="W16" i="30"/>
  <c r="L17" i="30"/>
  <c r="N17" i="30"/>
  <c r="M17" i="30" s="1"/>
  <c r="P17" i="30"/>
  <c r="Q17" i="30" s="1"/>
  <c r="S17" i="30"/>
  <c r="T17" i="30" s="1"/>
  <c r="V17" i="30"/>
  <c r="W17" i="30"/>
  <c r="I18" i="30"/>
  <c r="S18" i="30" s="1"/>
  <c r="T18" i="30" s="1"/>
  <c r="L18" i="30"/>
  <c r="P18" i="30"/>
  <c r="Q18" i="30" s="1"/>
  <c r="V18" i="30"/>
  <c r="W18" i="30"/>
  <c r="I19" i="30"/>
  <c r="S19" i="30" s="1"/>
  <c r="T19" i="30" s="1"/>
  <c r="L19" i="30"/>
  <c r="P19" i="30"/>
  <c r="N19" i="30" s="1"/>
  <c r="M19" i="30" s="1"/>
  <c r="Q19" i="30"/>
  <c r="V19" i="30"/>
  <c r="W19" i="30"/>
  <c r="I20" i="30"/>
  <c r="L20" i="30"/>
  <c r="P20" i="30"/>
  <c r="N20" i="30" s="1"/>
  <c r="Q20" i="30"/>
  <c r="S20" i="30"/>
  <c r="T20" i="30" s="1"/>
  <c r="V20" i="30"/>
  <c r="W20" i="30"/>
  <c r="I21" i="30"/>
  <c r="L21" i="30"/>
  <c r="N21" i="30"/>
  <c r="M21" i="30" s="1"/>
  <c r="P21" i="30"/>
  <c r="Q21" i="30"/>
  <c r="S21" i="30"/>
  <c r="T21" i="30" s="1"/>
  <c r="V21" i="30"/>
  <c r="W21" i="30"/>
  <c r="I22" i="30"/>
  <c r="S22" i="30" s="1"/>
  <c r="T22" i="30" s="1"/>
  <c r="L22" i="30"/>
  <c r="P22" i="30"/>
  <c r="N22" i="30" s="1"/>
  <c r="M22" i="30" s="1"/>
  <c r="V22" i="30"/>
  <c r="W22" i="30"/>
  <c r="I23" i="30"/>
  <c r="S23" i="30" s="1"/>
  <c r="T23" i="30" s="1"/>
  <c r="L23" i="30"/>
  <c r="P23" i="30"/>
  <c r="N23" i="30" s="1"/>
  <c r="M23" i="30" s="1"/>
  <c r="Q23" i="30"/>
  <c r="R23" i="30" s="1"/>
  <c r="V23" i="30"/>
  <c r="W23" i="30"/>
  <c r="I24" i="30"/>
  <c r="L24" i="30"/>
  <c r="P24" i="30"/>
  <c r="N24" i="30" s="1"/>
  <c r="Q24" i="30"/>
  <c r="S24" i="30"/>
  <c r="T24" i="30" s="1"/>
  <c r="V24" i="30"/>
  <c r="W24" i="30"/>
  <c r="L25" i="30"/>
  <c r="P25" i="30"/>
  <c r="Q25" i="30" s="1"/>
  <c r="V25" i="30"/>
  <c r="W25" i="30"/>
  <c r="R17" i="30" l="1"/>
  <c r="R16" i="30"/>
  <c r="R14" i="30"/>
  <c r="R7" i="30"/>
  <c r="R15" i="50"/>
  <c r="R16" i="25"/>
  <c r="R10" i="25"/>
  <c r="N27" i="44"/>
  <c r="M27" i="44" s="1"/>
  <c r="S29" i="44"/>
  <c r="T29" i="44" s="1"/>
  <c r="N28" i="44"/>
  <c r="M28" i="44" s="1"/>
  <c r="Q28" i="44"/>
  <c r="S28" i="44"/>
  <c r="T28" i="44" s="1"/>
  <c r="N29" i="44"/>
  <c r="M29" i="44" s="1"/>
  <c r="Q30" i="43"/>
  <c r="N30" i="43"/>
  <c r="M30" i="43" s="1"/>
  <c r="Q19" i="43"/>
  <c r="N19" i="43"/>
  <c r="M19" i="43" s="1"/>
  <c r="S18" i="43"/>
  <c r="T18" i="43" s="1"/>
  <c r="N18" i="43"/>
  <c r="M18" i="43" s="1"/>
  <c r="S14" i="43"/>
  <c r="T14" i="43" s="1"/>
  <c r="N14" i="43"/>
  <c r="M14" i="43" s="1"/>
  <c r="S30" i="42"/>
  <c r="T30" i="42" s="1"/>
  <c r="R30" i="42"/>
  <c r="S27" i="42"/>
  <c r="T27" i="42" s="1"/>
  <c r="N27" i="42"/>
  <c r="M27" i="42" s="1"/>
  <c r="Q14" i="42"/>
  <c r="R14" i="42" s="1"/>
  <c r="M14" i="42"/>
  <c r="S14" i="42"/>
  <c r="T14" i="42" s="1"/>
  <c r="N12" i="42"/>
  <c r="M12" i="42" s="1"/>
  <c r="S12" i="42"/>
  <c r="T12" i="42" s="1"/>
  <c r="Q11" i="42"/>
  <c r="R11" i="42" s="1"/>
  <c r="S11" i="42"/>
  <c r="T11" i="42" s="1"/>
  <c r="M11" i="42"/>
  <c r="N26" i="35"/>
  <c r="M26" i="35" s="1"/>
  <c r="S26" i="35"/>
  <c r="T26" i="35" s="1"/>
  <c r="R27" i="35"/>
  <c r="S5" i="35"/>
  <c r="T5" i="35" s="1"/>
  <c r="N5" i="35"/>
  <c r="M5" i="35" s="1"/>
  <c r="R14" i="35"/>
  <c r="R12" i="35"/>
  <c r="R16" i="35"/>
  <c r="R23" i="35"/>
  <c r="R7" i="35"/>
  <c r="R21" i="35"/>
  <c r="R25" i="35"/>
  <c r="N4" i="35"/>
  <c r="M4" i="35" s="1"/>
  <c r="N10" i="35"/>
  <c r="M10" i="35" s="1"/>
  <c r="S15" i="35"/>
  <c r="T15" i="35" s="1"/>
  <c r="N19" i="35"/>
  <c r="M19" i="35" s="1"/>
  <c r="S24" i="35"/>
  <c r="T24" i="35" s="1"/>
  <c r="R2" i="35"/>
  <c r="S8" i="35"/>
  <c r="T8" i="35" s="1"/>
  <c r="S13" i="35"/>
  <c r="T13" i="35" s="1"/>
  <c r="S22" i="35"/>
  <c r="T22" i="35" s="1"/>
  <c r="S2" i="35"/>
  <c r="T2" i="35" s="1"/>
  <c r="Q3" i="35"/>
  <c r="N6" i="35"/>
  <c r="M6" i="35" s="1"/>
  <c r="Q8" i="35"/>
  <c r="R8" i="35" s="1"/>
  <c r="Q9" i="35"/>
  <c r="R9" i="35" s="1"/>
  <c r="N11" i="35"/>
  <c r="M11" i="35" s="1"/>
  <c r="Q13" i="35"/>
  <c r="R13" i="35" s="1"/>
  <c r="N15" i="35"/>
  <c r="M15" i="35" s="1"/>
  <c r="Q17" i="35"/>
  <c r="R17" i="35" s="1"/>
  <c r="N18" i="35"/>
  <c r="M18" i="35" s="1"/>
  <c r="S18" i="35"/>
  <c r="T18" i="35" s="1"/>
  <c r="Q20" i="35"/>
  <c r="R20" i="35" s="1"/>
  <c r="N22" i="35"/>
  <c r="M22" i="35" s="1"/>
  <c r="Q24" i="35"/>
  <c r="R24" i="35" s="1"/>
  <c r="N3" i="35"/>
  <c r="M3" i="35" s="1"/>
  <c r="R24" i="30"/>
  <c r="M24" i="30"/>
  <c r="M13" i="30"/>
  <c r="R13" i="30"/>
  <c r="R19" i="30"/>
  <c r="M4" i="30"/>
  <c r="R4" i="30"/>
  <c r="R8" i="30"/>
  <c r="M20" i="30"/>
  <c r="R20" i="30"/>
  <c r="S25" i="30"/>
  <c r="T25" i="30" s="1"/>
  <c r="N25" i="30"/>
  <c r="M25" i="30" s="1"/>
  <c r="N18" i="30"/>
  <c r="M18" i="30" s="1"/>
  <c r="N11" i="30"/>
  <c r="M11" i="30" s="1"/>
  <c r="N6" i="30"/>
  <c r="M6" i="30" s="1"/>
  <c r="R5" i="30"/>
  <c r="M2" i="30"/>
  <c r="Q22" i="30"/>
  <c r="R22" i="30" s="1"/>
  <c r="Q15" i="30"/>
  <c r="R15" i="30" s="1"/>
  <c r="R21" i="30"/>
  <c r="S3" i="30"/>
  <c r="T3" i="30" s="1"/>
  <c r="I25" i="49"/>
  <c r="L25" i="49"/>
  <c r="N25" i="49"/>
  <c r="M25" i="49" s="1"/>
  <c r="P25" i="49"/>
  <c r="Q25" i="49"/>
  <c r="S25" i="49"/>
  <c r="T25" i="49" s="1"/>
  <c r="V25" i="49"/>
  <c r="W25" i="49"/>
  <c r="I24" i="49"/>
  <c r="I23" i="49"/>
  <c r="S23" i="49" s="1"/>
  <c r="T23" i="49" s="1"/>
  <c r="L23" i="49"/>
  <c r="P23" i="49"/>
  <c r="Q23" i="49" s="1"/>
  <c r="V23" i="49"/>
  <c r="W23" i="49"/>
  <c r="L24" i="49"/>
  <c r="P24" i="49"/>
  <c r="N24" i="49" s="1"/>
  <c r="M24" i="49" s="1"/>
  <c r="Q24" i="49"/>
  <c r="S24" i="49"/>
  <c r="T24" i="49" s="1"/>
  <c r="V24" i="49"/>
  <c r="W24" i="49"/>
  <c r="I21" i="49"/>
  <c r="S21" i="49" s="1"/>
  <c r="T21" i="49" s="1"/>
  <c r="L21" i="49"/>
  <c r="N21" i="49"/>
  <c r="M21" i="49" s="1"/>
  <c r="P21" i="49"/>
  <c r="Q21" i="49"/>
  <c r="V21" i="49"/>
  <c r="W21" i="49"/>
  <c r="I22" i="49"/>
  <c r="L22" i="49"/>
  <c r="P22" i="49"/>
  <c r="N22" i="49" s="1"/>
  <c r="M22" i="49" s="1"/>
  <c r="V22" i="49"/>
  <c r="W22" i="49"/>
  <c r="I20" i="49"/>
  <c r="L20" i="49"/>
  <c r="P20" i="49"/>
  <c r="N20" i="49" s="1"/>
  <c r="M20" i="49" s="1"/>
  <c r="V20" i="49"/>
  <c r="W20" i="49"/>
  <c r="I19" i="49"/>
  <c r="I3" i="49"/>
  <c r="R26" i="35" l="1"/>
  <c r="R27" i="44"/>
  <c r="R21" i="49"/>
  <c r="R29" i="44"/>
  <c r="R28" i="44"/>
  <c r="R30" i="43"/>
  <c r="R19" i="43"/>
  <c r="R18" i="43"/>
  <c r="R14" i="43"/>
  <c r="R27" i="42"/>
  <c r="R12" i="42"/>
  <c r="R5" i="35"/>
  <c r="R22" i="35"/>
  <c r="R10" i="35"/>
  <c r="R19" i="35"/>
  <c r="R15" i="35"/>
  <c r="R4" i="35"/>
  <c r="R3" i="35"/>
  <c r="R11" i="35"/>
  <c r="R18" i="35"/>
  <c r="R6" i="35"/>
  <c r="R25" i="30"/>
  <c r="R6" i="30"/>
  <c r="R11" i="30"/>
  <c r="R18" i="30"/>
  <c r="R24" i="49"/>
  <c r="S22" i="49"/>
  <c r="T22" i="49" s="1"/>
  <c r="R25" i="49"/>
  <c r="N23" i="49"/>
  <c r="M23" i="49" s="1"/>
  <c r="Q22" i="49"/>
  <c r="R22" i="49" s="1"/>
  <c r="S20" i="49"/>
  <c r="T20" i="49" s="1"/>
  <c r="Q20" i="49"/>
  <c r="R20" i="49" s="1"/>
  <c r="I17" i="48"/>
  <c r="I16" i="48"/>
  <c r="I15" i="48"/>
  <c r="I14" i="48"/>
  <c r="I13" i="48"/>
  <c r="I12" i="48"/>
  <c r="I11" i="48"/>
  <c r="I10" i="48"/>
  <c r="I9" i="48"/>
  <c r="I8" i="48"/>
  <c r="I7" i="48"/>
  <c r="I5" i="48"/>
  <c r="I4" i="48"/>
  <c r="I3" i="48"/>
  <c r="I20" i="47"/>
  <c r="I19" i="47"/>
  <c r="L19" i="47"/>
  <c r="P19" i="47"/>
  <c r="Q19" i="47" s="1"/>
  <c r="V19" i="47"/>
  <c r="W19" i="47"/>
  <c r="L20" i="47"/>
  <c r="N20" i="47"/>
  <c r="M20" i="47" s="1"/>
  <c r="P20" i="47"/>
  <c r="Q20" i="47"/>
  <c r="S20" i="47"/>
  <c r="T20" i="47" s="1"/>
  <c r="V20" i="47"/>
  <c r="W20" i="47"/>
  <c r="I18" i="47"/>
  <c r="I15" i="47"/>
  <c r="I14" i="47"/>
  <c r="I13" i="47"/>
  <c r="I12" i="47"/>
  <c r="I11" i="47"/>
  <c r="I10" i="47"/>
  <c r="I9" i="47"/>
  <c r="I7" i="47"/>
  <c r="I6" i="47"/>
  <c r="I5" i="47"/>
  <c r="I4" i="47"/>
  <c r="I3" i="47"/>
  <c r="R23" i="49" l="1"/>
  <c r="S19" i="47"/>
  <c r="T19" i="47" s="1"/>
  <c r="N19" i="47"/>
  <c r="M19" i="47" s="1"/>
  <c r="R20" i="47"/>
  <c r="I23" i="46"/>
  <c r="I22" i="46"/>
  <c r="I20" i="46"/>
  <c r="I19" i="46"/>
  <c r="I2" i="46"/>
  <c r="R19" i="47" l="1"/>
  <c r="I25" i="45"/>
  <c r="S25" i="45" s="1"/>
  <c r="T25" i="45" s="1"/>
  <c r="I24" i="45"/>
  <c r="S24" i="45" s="1"/>
  <c r="T24" i="45" s="1"/>
  <c r="I23" i="45"/>
  <c r="S23" i="45" s="1"/>
  <c r="T23" i="45" s="1"/>
  <c r="I22" i="45"/>
  <c r="S22" i="45" s="1"/>
  <c r="T22" i="45" s="1"/>
  <c r="I21" i="45"/>
  <c r="S21" i="45" s="1"/>
  <c r="T21" i="45" s="1"/>
  <c r="I20" i="45"/>
  <c r="S20" i="45" s="1"/>
  <c r="T20" i="45" s="1"/>
  <c r="I19" i="45"/>
  <c r="L20" i="45"/>
  <c r="N20" i="45"/>
  <c r="M20" i="45" s="1"/>
  <c r="P20" i="45"/>
  <c r="Q20" i="45"/>
  <c r="V20" i="45"/>
  <c r="W20" i="45"/>
  <c r="L21" i="45"/>
  <c r="P21" i="45"/>
  <c r="Q21" i="45" s="1"/>
  <c r="V21" i="45"/>
  <c r="W21" i="45"/>
  <c r="L22" i="45"/>
  <c r="N22" i="45"/>
  <c r="M22" i="45" s="1"/>
  <c r="P22" i="45"/>
  <c r="Q22" i="45"/>
  <c r="V22" i="45"/>
  <c r="W22" i="45"/>
  <c r="L23" i="45"/>
  <c r="P23" i="45"/>
  <c r="Q23" i="45" s="1"/>
  <c r="V23" i="45"/>
  <c r="W23" i="45"/>
  <c r="L24" i="45"/>
  <c r="P24" i="45"/>
  <c r="N24" i="45" s="1"/>
  <c r="M24" i="45" s="1"/>
  <c r="Q24" i="45"/>
  <c r="V24" i="45"/>
  <c r="W24" i="45"/>
  <c r="L25" i="45"/>
  <c r="P25" i="45"/>
  <c r="N25" i="45" s="1"/>
  <c r="Q25" i="45"/>
  <c r="V25" i="45"/>
  <c r="W25" i="45"/>
  <c r="I18" i="45"/>
  <c r="I17" i="45"/>
  <c r="I16" i="45"/>
  <c r="I15" i="45"/>
  <c r="I14" i="45"/>
  <c r="I13" i="45"/>
  <c r="I12" i="45"/>
  <c r="I11" i="45"/>
  <c r="F11" i="45"/>
  <c r="I10" i="45"/>
  <c r="I9" i="45"/>
  <c r="F9" i="45"/>
  <c r="I7" i="45"/>
  <c r="I6" i="45"/>
  <c r="F7" i="45"/>
  <c r="F6" i="45"/>
  <c r="I5" i="45"/>
  <c r="I4" i="45"/>
  <c r="I3" i="45"/>
  <c r="I2" i="45"/>
  <c r="M25" i="45" l="1"/>
  <c r="R25" i="45"/>
  <c r="R24" i="45"/>
  <c r="N23" i="45"/>
  <c r="M23" i="45" s="1"/>
  <c r="R22" i="45"/>
  <c r="N21" i="45"/>
  <c r="M21" i="45" s="1"/>
  <c r="R20" i="45"/>
  <c r="I22" i="38"/>
  <c r="I21" i="38"/>
  <c r="S21" i="38" s="1"/>
  <c r="T21" i="38" s="1"/>
  <c r="I20" i="38"/>
  <c r="I19" i="38"/>
  <c r="I18" i="38"/>
  <c r="L18" i="38"/>
  <c r="P18" i="38"/>
  <c r="V18" i="38"/>
  <c r="W18" i="38"/>
  <c r="L19" i="38"/>
  <c r="P19" i="38"/>
  <c r="V19" i="38"/>
  <c r="W19" i="38"/>
  <c r="L20" i="38"/>
  <c r="P20" i="38"/>
  <c r="N20" i="38" s="1"/>
  <c r="M20" i="38" s="1"/>
  <c r="V20" i="38"/>
  <c r="W20" i="38"/>
  <c r="L21" i="38"/>
  <c r="P21" i="38"/>
  <c r="N21" i="38" s="1"/>
  <c r="M21" i="38" s="1"/>
  <c r="V21" i="38"/>
  <c r="W21" i="38"/>
  <c r="L22" i="38"/>
  <c r="P22" i="38"/>
  <c r="N22" i="38" s="1"/>
  <c r="M22" i="38" s="1"/>
  <c r="V22" i="38"/>
  <c r="W22" i="38"/>
  <c r="I17" i="38"/>
  <c r="I16" i="38"/>
  <c r="I15" i="38"/>
  <c r="L15" i="38"/>
  <c r="P15" i="38"/>
  <c r="N15" i="38" s="1"/>
  <c r="V15" i="38"/>
  <c r="W15" i="38"/>
  <c r="L16" i="38"/>
  <c r="P16" i="38"/>
  <c r="N16" i="38" s="1"/>
  <c r="M16" i="38" s="1"/>
  <c r="V16" i="38"/>
  <c r="W16" i="38"/>
  <c r="L17" i="38"/>
  <c r="P17" i="38"/>
  <c r="N17" i="38" s="1"/>
  <c r="M17" i="38" s="1"/>
  <c r="V17" i="38"/>
  <c r="W17" i="38"/>
  <c r="I14" i="38"/>
  <c r="I13" i="38"/>
  <c r="I12" i="38"/>
  <c r="I11" i="38"/>
  <c r="I10" i="38"/>
  <c r="I3" i="38"/>
  <c r="L3" i="38"/>
  <c r="P3" i="38"/>
  <c r="V3" i="38"/>
  <c r="W3" i="38"/>
  <c r="I9" i="38"/>
  <c r="I8" i="38"/>
  <c r="I7" i="38"/>
  <c r="I6" i="38"/>
  <c r="I5" i="38"/>
  <c r="I4" i="38"/>
  <c r="I18" i="37"/>
  <c r="S18" i="37" s="1"/>
  <c r="T18" i="37" s="1"/>
  <c r="I17" i="37"/>
  <c r="L17" i="37"/>
  <c r="P17" i="37"/>
  <c r="N17" i="37" s="1"/>
  <c r="V17" i="37"/>
  <c r="W17" i="37"/>
  <c r="L18" i="37"/>
  <c r="P18" i="37"/>
  <c r="V18" i="37"/>
  <c r="W18" i="37"/>
  <c r="I16" i="37"/>
  <c r="I15" i="37"/>
  <c r="I14" i="37"/>
  <c r="I13" i="37"/>
  <c r="I12" i="37"/>
  <c r="I11" i="37"/>
  <c r="I10" i="37"/>
  <c r="I9" i="37"/>
  <c r="I19" i="37"/>
  <c r="I20" i="37"/>
  <c r="I8" i="37"/>
  <c r="I7" i="37"/>
  <c r="I6" i="37"/>
  <c r="I5" i="37"/>
  <c r="L5" i="37"/>
  <c r="N5" i="37"/>
  <c r="M5" i="37" s="1"/>
  <c r="P5" i="37"/>
  <c r="V5" i="37"/>
  <c r="W5" i="37"/>
  <c r="L6" i="37"/>
  <c r="P6" i="37"/>
  <c r="V6" i="37"/>
  <c r="W6" i="37"/>
  <c r="I20" i="36"/>
  <c r="I19" i="36"/>
  <c r="I4" i="36"/>
  <c r="I3" i="36"/>
  <c r="I2" i="36"/>
  <c r="S5" i="37" l="1"/>
  <c r="T5" i="37" s="1"/>
  <c r="R23" i="45"/>
  <c r="R21" i="45"/>
  <c r="S17" i="38"/>
  <c r="T17" i="38" s="1"/>
  <c r="S19" i="38"/>
  <c r="T19" i="38" s="1"/>
  <c r="N18" i="37"/>
  <c r="M18" i="37" s="1"/>
  <c r="N19" i="38"/>
  <c r="M19" i="38" s="1"/>
  <c r="S18" i="38"/>
  <c r="T18" i="38" s="1"/>
  <c r="S20" i="38"/>
  <c r="T20" i="38" s="1"/>
  <c r="S16" i="38"/>
  <c r="T16" i="38" s="1"/>
  <c r="S22" i="38"/>
  <c r="T22" i="38" s="1"/>
  <c r="N18" i="38"/>
  <c r="M18" i="38" s="1"/>
  <c r="M15" i="38"/>
  <c r="S15" i="38"/>
  <c r="T15" i="38" s="1"/>
  <c r="S3" i="38"/>
  <c r="T3" i="38" s="1"/>
  <c r="N3" i="38"/>
  <c r="M3" i="38" s="1"/>
  <c r="M17" i="37"/>
  <c r="S17" i="37"/>
  <c r="T17" i="37" s="1"/>
  <c r="S6" i="37"/>
  <c r="T6" i="37" s="1"/>
  <c r="N6" i="37"/>
  <c r="M6" i="37" s="1"/>
  <c r="L16" i="32"/>
  <c r="P16" i="32"/>
  <c r="N16" i="32" s="1"/>
  <c r="M16" i="32" s="1"/>
  <c r="S16" i="32"/>
  <c r="T16" i="32" s="1"/>
  <c r="V16" i="32"/>
  <c r="W16" i="32"/>
  <c r="H12" i="33"/>
  <c r="H7" i="33"/>
  <c r="H6" i="33"/>
  <c r="L4" i="33"/>
  <c r="P4" i="33"/>
  <c r="S4" i="33" s="1"/>
  <c r="T4" i="33" s="1"/>
  <c r="V4" i="33"/>
  <c r="W4" i="33"/>
  <c r="H7" i="32"/>
  <c r="H6" i="32"/>
  <c r="H5" i="32"/>
  <c r="H2" i="32"/>
  <c r="N4" i="33" l="1"/>
  <c r="M4" i="33" s="1"/>
  <c r="I9" i="27"/>
  <c r="H7" i="27"/>
  <c r="H5" i="27"/>
  <c r="H4" i="27"/>
  <c r="I33" i="40"/>
  <c r="I32" i="40"/>
  <c r="I31" i="40"/>
  <c r="I30" i="40"/>
  <c r="I14" i="40"/>
  <c r="I13" i="40"/>
  <c r="I2" i="23"/>
  <c r="I35" i="29"/>
  <c r="I34" i="29"/>
  <c r="I33" i="29"/>
  <c r="I32" i="29"/>
  <c r="I15" i="29"/>
  <c r="I13" i="29"/>
  <c r="I12" i="29"/>
  <c r="I32" i="39"/>
  <c r="I29" i="39"/>
  <c r="I13" i="39"/>
  <c r="I10" i="39"/>
  <c r="I2" i="39"/>
  <c r="I2" i="40"/>
  <c r="I10" i="40"/>
  <c r="I11" i="40"/>
  <c r="L6" i="39"/>
  <c r="P6" i="39"/>
  <c r="N6" i="39" s="1"/>
  <c r="M6" i="39" s="1"/>
  <c r="V6" i="39"/>
  <c r="W6" i="39"/>
  <c r="L7" i="39"/>
  <c r="P7" i="39"/>
  <c r="N7" i="39" s="1"/>
  <c r="M7" i="39" s="1"/>
  <c r="V7" i="39"/>
  <c r="W7" i="39"/>
  <c r="L8" i="39"/>
  <c r="P8" i="39"/>
  <c r="V8" i="39"/>
  <c r="W8" i="39"/>
  <c r="L9" i="39"/>
  <c r="P9" i="39"/>
  <c r="N9" i="39" s="1"/>
  <c r="M9" i="39" s="1"/>
  <c r="V9" i="39"/>
  <c r="W9" i="39"/>
  <c r="L10" i="39"/>
  <c r="V10" i="39"/>
  <c r="W10" i="39"/>
  <c r="L11" i="39"/>
  <c r="P11" i="39"/>
  <c r="N11" i="39" s="1"/>
  <c r="M11" i="39" s="1"/>
  <c r="V11" i="39"/>
  <c r="W11" i="39"/>
  <c r="L12" i="39"/>
  <c r="P12" i="39"/>
  <c r="V12" i="39"/>
  <c r="W12" i="39"/>
  <c r="L13" i="39"/>
  <c r="P13" i="39"/>
  <c r="N13" i="39" s="1"/>
  <c r="M13" i="39" s="1"/>
  <c r="V13" i="39"/>
  <c r="W13" i="39"/>
  <c r="L14" i="39"/>
  <c r="P14" i="39"/>
  <c r="N14" i="39" s="1"/>
  <c r="M14" i="39" s="1"/>
  <c r="V14" i="39"/>
  <c r="W14" i="39"/>
  <c r="L15" i="39"/>
  <c r="P15" i="39"/>
  <c r="V15" i="39"/>
  <c r="W15" i="39"/>
  <c r="L16" i="39"/>
  <c r="P16" i="39"/>
  <c r="N16" i="39" s="1"/>
  <c r="M16" i="39" s="1"/>
  <c r="V16" i="39"/>
  <c r="W16" i="39"/>
  <c r="L17" i="39"/>
  <c r="P17" i="39"/>
  <c r="V17" i="39"/>
  <c r="W17" i="39"/>
  <c r="L18" i="39"/>
  <c r="P18" i="39"/>
  <c r="N18" i="39" s="1"/>
  <c r="M18" i="39" s="1"/>
  <c r="V18" i="39"/>
  <c r="W18" i="39"/>
  <c r="L19" i="39"/>
  <c r="V19" i="39"/>
  <c r="W19" i="39"/>
  <c r="L20" i="39"/>
  <c r="P20" i="39"/>
  <c r="N20" i="39" s="1"/>
  <c r="M20" i="39" s="1"/>
  <c r="V20" i="39"/>
  <c r="W20" i="39"/>
  <c r="L21" i="39"/>
  <c r="P21" i="39"/>
  <c r="V21" i="39"/>
  <c r="W21" i="39"/>
  <c r="L22" i="39"/>
  <c r="P22" i="39"/>
  <c r="N22" i="39" s="1"/>
  <c r="M22" i="39" s="1"/>
  <c r="V22" i="39"/>
  <c r="W22" i="39"/>
  <c r="L23" i="39"/>
  <c r="V23" i="39"/>
  <c r="W23" i="39"/>
  <c r="L24" i="39"/>
  <c r="P24" i="39"/>
  <c r="N24" i="39" s="1"/>
  <c r="M24" i="39" s="1"/>
  <c r="V24" i="39"/>
  <c r="W24" i="39"/>
  <c r="L25" i="39"/>
  <c r="P25" i="39"/>
  <c r="V25" i="39"/>
  <c r="W25" i="39"/>
  <c r="L26" i="39"/>
  <c r="P26" i="39"/>
  <c r="N26" i="39" s="1"/>
  <c r="M26" i="39" s="1"/>
  <c r="V26" i="39"/>
  <c r="W26" i="39"/>
  <c r="L27" i="39"/>
  <c r="P27" i="39"/>
  <c r="V27" i="39"/>
  <c r="W27" i="39"/>
  <c r="L28" i="39"/>
  <c r="P28" i="39"/>
  <c r="N28" i="39" s="1"/>
  <c r="M28" i="39" s="1"/>
  <c r="V28" i="39"/>
  <c r="W28" i="39"/>
  <c r="L29" i="39"/>
  <c r="P29" i="39"/>
  <c r="V29" i="39"/>
  <c r="W29" i="39"/>
  <c r="L30" i="39"/>
  <c r="P30" i="39"/>
  <c r="V30" i="39"/>
  <c r="W30" i="39"/>
  <c r="L31" i="39"/>
  <c r="P31" i="39"/>
  <c r="N31" i="39" s="1"/>
  <c r="M31" i="39" s="1"/>
  <c r="V31" i="39"/>
  <c r="W31" i="39"/>
  <c r="L32" i="39"/>
  <c r="P32" i="39"/>
  <c r="V32" i="39"/>
  <c r="W32" i="39"/>
  <c r="L33" i="39"/>
  <c r="P33" i="39"/>
  <c r="N33" i="39" s="1"/>
  <c r="M33" i="39" s="1"/>
  <c r="V33" i="39"/>
  <c r="W33" i="39"/>
  <c r="L34" i="39"/>
  <c r="P34" i="39"/>
  <c r="S34" i="39" s="1"/>
  <c r="T34" i="39" s="1"/>
  <c r="V34" i="39"/>
  <c r="W34" i="39"/>
  <c r="L35" i="39"/>
  <c r="P35" i="39"/>
  <c r="N35" i="39" s="1"/>
  <c r="M35" i="39" s="1"/>
  <c r="V35" i="39"/>
  <c r="W35" i="39"/>
  <c r="L36" i="39"/>
  <c r="P36" i="39"/>
  <c r="S36" i="39" s="1"/>
  <c r="T36" i="39" s="1"/>
  <c r="V36" i="39"/>
  <c r="W36" i="39"/>
  <c r="L37" i="39"/>
  <c r="P37" i="39"/>
  <c r="V37" i="39"/>
  <c r="W37" i="39"/>
  <c r="L38" i="39"/>
  <c r="P38" i="39"/>
  <c r="V38" i="39"/>
  <c r="W38" i="39"/>
  <c r="L39" i="39"/>
  <c r="P39" i="39"/>
  <c r="N39" i="39" s="1"/>
  <c r="M39" i="39" s="1"/>
  <c r="V39" i="39"/>
  <c r="W39" i="39"/>
  <c r="L40" i="39"/>
  <c r="P40" i="39"/>
  <c r="N40" i="39" s="1"/>
  <c r="M40" i="39" s="1"/>
  <c r="V40" i="39"/>
  <c r="W40" i="39"/>
  <c r="I11" i="39"/>
  <c r="F11" i="39"/>
  <c r="H10" i="39"/>
  <c r="P10" i="39" s="1"/>
  <c r="H35" i="29"/>
  <c r="L3" i="29"/>
  <c r="N3" i="29"/>
  <c r="M3" i="29" s="1"/>
  <c r="P3" i="29"/>
  <c r="V3" i="29"/>
  <c r="W3" i="29"/>
  <c r="L4" i="29"/>
  <c r="P4" i="29"/>
  <c r="S4" i="29" s="1"/>
  <c r="T4" i="29" s="1"/>
  <c r="V4" i="29"/>
  <c r="W4" i="29"/>
  <c r="L5" i="29"/>
  <c r="N5" i="29"/>
  <c r="M5" i="29" s="1"/>
  <c r="P5" i="29"/>
  <c r="V5" i="29"/>
  <c r="W5" i="29"/>
  <c r="L6" i="29"/>
  <c r="P6" i="29"/>
  <c r="S6" i="29" s="1"/>
  <c r="T6" i="29" s="1"/>
  <c r="V6" i="29"/>
  <c r="W6" i="29"/>
  <c r="L7" i="29"/>
  <c r="P7" i="29"/>
  <c r="V7" i="29"/>
  <c r="W7" i="29"/>
  <c r="L8" i="29"/>
  <c r="P8" i="29"/>
  <c r="S8" i="29" s="1"/>
  <c r="T8" i="29" s="1"/>
  <c r="V8" i="29"/>
  <c r="W8" i="29"/>
  <c r="L9" i="29"/>
  <c r="P9" i="29"/>
  <c r="S9" i="29" s="1"/>
  <c r="T9" i="29" s="1"/>
  <c r="V9" i="29"/>
  <c r="W9" i="29"/>
  <c r="L10" i="29"/>
  <c r="P10" i="29"/>
  <c r="V10" i="29"/>
  <c r="W10" i="29"/>
  <c r="L11" i="29"/>
  <c r="P11" i="29"/>
  <c r="S11" i="29"/>
  <c r="T11" i="29" s="1"/>
  <c r="V11" i="29"/>
  <c r="W11" i="29"/>
  <c r="L12" i="29"/>
  <c r="P12" i="29"/>
  <c r="N12" i="29" s="1"/>
  <c r="M12" i="29" s="1"/>
  <c r="V12" i="29"/>
  <c r="W12" i="29"/>
  <c r="L13" i="29"/>
  <c r="N13" i="29"/>
  <c r="M13" i="29" s="1"/>
  <c r="P13" i="29"/>
  <c r="V13" i="29"/>
  <c r="W13" i="29"/>
  <c r="L14" i="29"/>
  <c r="P14" i="29"/>
  <c r="V14" i="29"/>
  <c r="W14" i="29"/>
  <c r="L15" i="29"/>
  <c r="V15" i="29"/>
  <c r="W15" i="29"/>
  <c r="L16" i="29"/>
  <c r="P16" i="29"/>
  <c r="N16" i="29" s="1"/>
  <c r="M16" i="29" s="1"/>
  <c r="V16" i="29"/>
  <c r="W16" i="29"/>
  <c r="L17" i="29"/>
  <c r="P17" i="29"/>
  <c r="S17" i="29" s="1"/>
  <c r="T17" i="29" s="1"/>
  <c r="V17" i="29"/>
  <c r="W17" i="29"/>
  <c r="L18" i="29"/>
  <c r="P18" i="29"/>
  <c r="V18" i="29"/>
  <c r="W18" i="29"/>
  <c r="L19" i="29"/>
  <c r="P19" i="29"/>
  <c r="N19" i="29" s="1"/>
  <c r="M19" i="29" s="1"/>
  <c r="V19" i="29"/>
  <c r="W19" i="29"/>
  <c r="L20" i="29"/>
  <c r="V20" i="29"/>
  <c r="W20" i="29"/>
  <c r="L21" i="29"/>
  <c r="P21" i="29"/>
  <c r="S21" i="29" s="1"/>
  <c r="T21" i="29" s="1"/>
  <c r="V21" i="29"/>
  <c r="W21" i="29"/>
  <c r="L22" i="29"/>
  <c r="P22" i="29"/>
  <c r="V22" i="29"/>
  <c r="W22" i="29"/>
  <c r="L23" i="29"/>
  <c r="P23" i="29"/>
  <c r="N23" i="29" s="1"/>
  <c r="M23" i="29" s="1"/>
  <c r="V23" i="29"/>
  <c r="W23" i="29"/>
  <c r="L24" i="29"/>
  <c r="V24" i="29"/>
  <c r="W24" i="29"/>
  <c r="L25" i="29"/>
  <c r="N25" i="29"/>
  <c r="M25" i="29" s="1"/>
  <c r="P25" i="29"/>
  <c r="S25" i="29"/>
  <c r="T25" i="29" s="1"/>
  <c r="V25" i="29"/>
  <c r="W25" i="29"/>
  <c r="L26" i="29"/>
  <c r="P26" i="29"/>
  <c r="S26" i="29"/>
  <c r="T26" i="29" s="1"/>
  <c r="V26" i="29"/>
  <c r="W26" i="29"/>
  <c r="L27" i="29"/>
  <c r="N27" i="29"/>
  <c r="M27" i="29" s="1"/>
  <c r="P27" i="29"/>
  <c r="S27" i="29" s="1"/>
  <c r="T27" i="29" s="1"/>
  <c r="V27" i="29"/>
  <c r="W27" i="29"/>
  <c r="L28" i="29"/>
  <c r="P28" i="29"/>
  <c r="S28" i="29" s="1"/>
  <c r="T28" i="29" s="1"/>
  <c r="V28" i="29"/>
  <c r="W28" i="29"/>
  <c r="L29" i="29"/>
  <c r="N29" i="29"/>
  <c r="M29" i="29" s="1"/>
  <c r="P29" i="29"/>
  <c r="S29" i="29" s="1"/>
  <c r="T29" i="29" s="1"/>
  <c r="V29" i="29"/>
  <c r="W29" i="29"/>
  <c r="L30" i="29"/>
  <c r="P30" i="29"/>
  <c r="V30" i="29"/>
  <c r="W30" i="29"/>
  <c r="L31" i="29"/>
  <c r="P31" i="29"/>
  <c r="S31" i="29" s="1"/>
  <c r="T31" i="29" s="1"/>
  <c r="V31" i="29"/>
  <c r="W31" i="29"/>
  <c r="L32" i="29"/>
  <c r="V32" i="29"/>
  <c r="W32" i="29"/>
  <c r="L33" i="29"/>
  <c r="P33" i="29"/>
  <c r="N33" i="29" s="1"/>
  <c r="M33" i="29" s="1"/>
  <c r="V33" i="29"/>
  <c r="W33" i="29"/>
  <c r="L34" i="29"/>
  <c r="P34" i="29"/>
  <c r="V34" i="29"/>
  <c r="W34" i="29"/>
  <c r="L35" i="29"/>
  <c r="P35" i="29"/>
  <c r="N35" i="29" s="1"/>
  <c r="M35" i="29" s="1"/>
  <c r="V35" i="29"/>
  <c r="W35" i="29"/>
  <c r="L36" i="29"/>
  <c r="P36" i="29"/>
  <c r="S36" i="29" s="1"/>
  <c r="T36" i="29" s="1"/>
  <c r="V36" i="29"/>
  <c r="W36" i="29"/>
  <c r="L37" i="29"/>
  <c r="P37" i="29"/>
  <c r="N37" i="29" s="1"/>
  <c r="M37" i="29" s="1"/>
  <c r="V37" i="29"/>
  <c r="W37" i="29"/>
  <c r="L38" i="29"/>
  <c r="P38" i="29"/>
  <c r="V38" i="29"/>
  <c r="W38" i="29"/>
  <c r="L39" i="29"/>
  <c r="P39" i="29"/>
  <c r="N39" i="29" s="1"/>
  <c r="M39" i="29" s="1"/>
  <c r="V39" i="29"/>
  <c r="W39" i="29"/>
  <c r="L40" i="29"/>
  <c r="P40" i="29"/>
  <c r="S40" i="29" s="1"/>
  <c r="T40" i="29" s="1"/>
  <c r="V40" i="29"/>
  <c r="W40" i="29"/>
  <c r="L41" i="29"/>
  <c r="N41" i="29"/>
  <c r="M41" i="29" s="1"/>
  <c r="P41" i="29"/>
  <c r="S41" i="29" s="1"/>
  <c r="T41" i="29" s="1"/>
  <c r="V41" i="29"/>
  <c r="W41" i="29"/>
  <c r="L42" i="29"/>
  <c r="P42" i="29"/>
  <c r="V42" i="29"/>
  <c r="W42" i="29"/>
  <c r="L43" i="29"/>
  <c r="P43" i="29"/>
  <c r="V43" i="29"/>
  <c r="W43" i="29"/>
  <c r="L44" i="29"/>
  <c r="P44" i="29"/>
  <c r="N44" i="29" s="1"/>
  <c r="M44" i="29" s="1"/>
  <c r="V44" i="29"/>
  <c r="W44" i="29"/>
  <c r="H32" i="29"/>
  <c r="P32" i="29" s="1"/>
  <c r="S15" i="29"/>
  <c r="T15" i="29" s="1"/>
  <c r="H15" i="29"/>
  <c r="P15" i="29" s="1"/>
  <c r="S13" i="29"/>
  <c r="T13" i="29" s="1"/>
  <c r="I2" i="29"/>
  <c r="N32" i="29" l="1"/>
  <c r="M32" i="29" s="1"/>
  <c r="S32" i="29"/>
  <c r="T32" i="29" s="1"/>
  <c r="S39" i="29"/>
  <c r="T39" i="29" s="1"/>
  <c r="S37" i="29"/>
  <c r="T37" i="29" s="1"/>
  <c r="S33" i="29"/>
  <c r="T33" i="29" s="1"/>
  <c r="S19" i="29"/>
  <c r="T19" i="29" s="1"/>
  <c r="N43" i="29"/>
  <c r="M43" i="29" s="1"/>
  <c r="S42" i="29"/>
  <c r="T42" i="29" s="1"/>
  <c r="N31" i="29"/>
  <c r="M31" i="29" s="1"/>
  <c r="N21" i="29"/>
  <c r="M21" i="29" s="1"/>
  <c r="N17" i="29"/>
  <c r="M17" i="29" s="1"/>
  <c r="N11" i="29"/>
  <c r="M11" i="29" s="1"/>
  <c r="N7" i="29"/>
  <c r="M7" i="29" s="1"/>
  <c r="S12" i="29"/>
  <c r="T12" i="29" s="1"/>
  <c r="S38" i="29"/>
  <c r="T38" i="29" s="1"/>
  <c r="N9" i="29"/>
  <c r="M9" i="29" s="1"/>
  <c r="N38" i="39"/>
  <c r="M38" i="39" s="1"/>
  <c r="N8" i="39"/>
  <c r="M8" i="39" s="1"/>
  <c r="S38" i="39"/>
  <c r="T38" i="39" s="1"/>
  <c r="N34" i="39"/>
  <c r="M34" i="39" s="1"/>
  <c r="S10" i="39"/>
  <c r="T10" i="39" s="1"/>
  <c r="N36" i="39"/>
  <c r="M36" i="39" s="1"/>
  <c r="N10" i="39"/>
  <c r="M10" i="39" s="1"/>
  <c r="N37" i="39"/>
  <c r="M37" i="39" s="1"/>
  <c r="N32" i="39"/>
  <c r="M32" i="39" s="1"/>
  <c r="N30" i="39"/>
  <c r="M30" i="39" s="1"/>
  <c r="N29" i="39"/>
  <c r="M29" i="39" s="1"/>
  <c r="N27" i="39"/>
  <c r="M27" i="39" s="1"/>
  <c r="N25" i="39"/>
  <c r="M25" i="39" s="1"/>
  <c r="N21" i="39"/>
  <c r="M21" i="39" s="1"/>
  <c r="N17" i="39"/>
  <c r="M17" i="39" s="1"/>
  <c r="N15" i="39"/>
  <c r="M15" i="39" s="1"/>
  <c r="N12" i="39"/>
  <c r="M12" i="39" s="1"/>
  <c r="S27" i="39"/>
  <c r="T27" i="39" s="1"/>
  <c r="S25" i="39"/>
  <c r="T25" i="39" s="1"/>
  <c r="S11" i="39"/>
  <c r="T11" i="39" s="1"/>
  <c r="S9" i="39"/>
  <c r="T9" i="39" s="1"/>
  <c r="N15" i="29"/>
  <c r="M15" i="29" s="1"/>
  <c r="N42" i="29"/>
  <c r="M42" i="29" s="1"/>
  <c r="N38" i="29"/>
  <c r="M38" i="29" s="1"/>
  <c r="N34" i="29"/>
  <c r="M34" i="29" s="1"/>
  <c r="N30" i="29"/>
  <c r="M30" i="29" s="1"/>
  <c r="N26" i="29"/>
  <c r="M26" i="29" s="1"/>
  <c r="N22" i="29"/>
  <c r="M22" i="29" s="1"/>
  <c r="N18" i="29"/>
  <c r="M18" i="29" s="1"/>
  <c r="N14" i="29"/>
  <c r="M14" i="29" s="1"/>
  <c r="N10" i="29"/>
  <c r="M10" i="29" s="1"/>
  <c r="N6" i="29"/>
  <c r="M6" i="29" s="1"/>
  <c r="N40" i="29"/>
  <c r="M40" i="29" s="1"/>
  <c r="N36" i="29"/>
  <c r="M36" i="29" s="1"/>
  <c r="N28" i="29"/>
  <c r="M28" i="29" s="1"/>
  <c r="N8" i="29"/>
  <c r="M8" i="29" s="1"/>
  <c r="N4" i="29"/>
  <c r="M4" i="29" s="1"/>
  <c r="I2" i="51" l="1"/>
  <c r="H2" i="51"/>
  <c r="P2" i="51" s="1"/>
  <c r="N2" i="51" s="1"/>
  <c r="M2" i="51" s="1"/>
  <c r="F2" i="51"/>
  <c r="W39" i="51"/>
  <c r="V39" i="51"/>
  <c r="P39" i="51"/>
  <c r="L39" i="51"/>
  <c r="W38" i="51"/>
  <c r="V38" i="51"/>
  <c r="P38" i="51"/>
  <c r="L38" i="51"/>
  <c r="W37" i="51"/>
  <c r="V37" i="51"/>
  <c r="P37" i="51"/>
  <c r="L37" i="51"/>
  <c r="W36" i="51"/>
  <c r="V36" i="51"/>
  <c r="P36" i="51"/>
  <c r="N36" i="51" s="1"/>
  <c r="M36" i="51" s="1"/>
  <c r="L36" i="51"/>
  <c r="W2" i="51"/>
  <c r="V2" i="51"/>
  <c r="L2" i="51"/>
  <c r="I31" i="50"/>
  <c r="I30" i="50"/>
  <c r="I29" i="50"/>
  <c r="I13" i="50"/>
  <c r="P28" i="50"/>
  <c r="N28" i="50" s="1"/>
  <c r="M28" i="50" s="1"/>
  <c r="P27" i="50"/>
  <c r="N27" i="50" s="1"/>
  <c r="M27" i="50" s="1"/>
  <c r="I26" i="50"/>
  <c r="L28" i="50"/>
  <c r="V28" i="50"/>
  <c r="W28" i="50"/>
  <c r="L29" i="50"/>
  <c r="P29" i="50"/>
  <c r="V29" i="50"/>
  <c r="W29" i="50"/>
  <c r="L30" i="50"/>
  <c r="P30" i="50"/>
  <c r="V30" i="50"/>
  <c r="W30" i="50"/>
  <c r="L31" i="50"/>
  <c r="P31" i="50"/>
  <c r="N31" i="50" s="1"/>
  <c r="M31" i="50" s="1"/>
  <c r="V31" i="50"/>
  <c r="W31" i="50"/>
  <c r="P21" i="50"/>
  <c r="N21" i="50" s="1"/>
  <c r="M21" i="50" s="1"/>
  <c r="I20" i="50"/>
  <c r="L20" i="50"/>
  <c r="P20" i="50"/>
  <c r="N20" i="50" s="1"/>
  <c r="M20" i="50" s="1"/>
  <c r="V20" i="50"/>
  <c r="W20" i="50"/>
  <c r="L21" i="50"/>
  <c r="V21" i="50"/>
  <c r="W21" i="50"/>
  <c r="L22" i="50"/>
  <c r="P22" i="50"/>
  <c r="V22" i="50"/>
  <c r="W22" i="50"/>
  <c r="L23" i="50"/>
  <c r="P23" i="50"/>
  <c r="V23" i="50"/>
  <c r="W23" i="50"/>
  <c r="L24" i="50"/>
  <c r="P24" i="50"/>
  <c r="N24" i="50" s="1"/>
  <c r="M24" i="50" s="1"/>
  <c r="V24" i="50"/>
  <c r="W24" i="50"/>
  <c r="L25" i="50"/>
  <c r="P25" i="50"/>
  <c r="N25" i="50" s="1"/>
  <c r="V25" i="50"/>
  <c r="W25" i="50"/>
  <c r="L26" i="50"/>
  <c r="P26" i="50"/>
  <c r="N26" i="50" s="1"/>
  <c r="M26" i="50" s="1"/>
  <c r="V26" i="50"/>
  <c r="W26" i="50"/>
  <c r="L27" i="50"/>
  <c r="V27" i="50"/>
  <c r="W27" i="50"/>
  <c r="I12" i="50"/>
  <c r="H12" i="50"/>
  <c r="S30" i="50" l="1"/>
  <c r="T30" i="50" s="1"/>
  <c r="S31" i="50"/>
  <c r="T31" i="50" s="1"/>
  <c r="S25" i="50"/>
  <c r="T25" i="50" s="1"/>
  <c r="S24" i="50"/>
  <c r="T24" i="50" s="1"/>
  <c r="S38" i="51"/>
  <c r="T38" i="51" s="1"/>
  <c r="S37" i="51"/>
  <c r="T37" i="51" s="1"/>
  <c r="S36" i="51"/>
  <c r="T36" i="51" s="1"/>
  <c r="S39" i="51"/>
  <c r="T39" i="51" s="1"/>
  <c r="S2" i="51"/>
  <c r="T2" i="51" s="1"/>
  <c r="N37" i="51"/>
  <c r="M37" i="51" s="1"/>
  <c r="N38" i="51"/>
  <c r="M38" i="51" s="1"/>
  <c r="N39" i="51"/>
  <c r="M39" i="51" s="1"/>
  <c r="S23" i="50"/>
  <c r="T23" i="50" s="1"/>
  <c r="N29" i="50"/>
  <c r="M29" i="50" s="1"/>
  <c r="N30" i="50"/>
  <c r="S28" i="50"/>
  <c r="T28" i="50" s="1"/>
  <c r="S29" i="50"/>
  <c r="T29" i="50" s="1"/>
  <c r="M25" i="50"/>
  <c r="N22" i="50"/>
  <c r="M22" i="50" s="1"/>
  <c r="N23" i="50"/>
  <c r="M23" i="50" s="1"/>
  <c r="S20" i="50"/>
  <c r="T20" i="50" s="1"/>
  <c r="S26" i="50"/>
  <c r="T26" i="50" s="1"/>
  <c r="S27" i="50"/>
  <c r="T27" i="50" s="1"/>
  <c r="S21" i="50"/>
  <c r="T21" i="50" s="1"/>
  <c r="S22" i="50"/>
  <c r="T22" i="50" s="1"/>
  <c r="I10" i="50"/>
  <c r="I9" i="50"/>
  <c r="I8" i="50"/>
  <c r="I7" i="50"/>
  <c r="H7" i="50"/>
  <c r="H6" i="50"/>
  <c r="P6" i="50" s="1"/>
  <c r="N6" i="50" s="1"/>
  <c r="M6" i="50" s="1"/>
  <c r="P4" i="50"/>
  <c r="I2" i="50"/>
  <c r="H2" i="50"/>
  <c r="P2" i="50" s="1"/>
  <c r="F2" i="50"/>
  <c r="W19" i="50"/>
  <c r="V19" i="50"/>
  <c r="L19" i="50"/>
  <c r="P19" i="50"/>
  <c r="W18" i="50"/>
  <c r="V18" i="50"/>
  <c r="P18" i="50"/>
  <c r="N18" i="50" s="1"/>
  <c r="M18" i="50" s="1"/>
  <c r="L18" i="50"/>
  <c r="W17" i="50"/>
  <c r="V17" i="50"/>
  <c r="P17" i="50"/>
  <c r="N17" i="50" s="1"/>
  <c r="M17" i="50" s="1"/>
  <c r="L17" i="50"/>
  <c r="W16" i="50"/>
  <c r="V16" i="50"/>
  <c r="P16" i="50"/>
  <c r="S16" i="50" s="1"/>
  <c r="T16" i="50" s="1"/>
  <c r="L16" i="50"/>
  <c r="W13" i="50"/>
  <c r="V13" i="50"/>
  <c r="P13" i="50"/>
  <c r="S13" i="50" s="1"/>
  <c r="T13" i="50" s="1"/>
  <c r="L13" i="50"/>
  <c r="W12" i="50"/>
  <c r="V12" i="50"/>
  <c r="P12" i="50"/>
  <c r="L12" i="50"/>
  <c r="W10" i="50"/>
  <c r="V10" i="50"/>
  <c r="P10" i="50"/>
  <c r="N10" i="50" s="1"/>
  <c r="M10" i="50" s="1"/>
  <c r="L10" i="50"/>
  <c r="W9" i="50"/>
  <c r="V9" i="50"/>
  <c r="P9" i="50"/>
  <c r="N9" i="50" s="1"/>
  <c r="M9" i="50" s="1"/>
  <c r="L9" i="50"/>
  <c r="W8" i="50"/>
  <c r="V8" i="50"/>
  <c r="P8" i="50"/>
  <c r="N8" i="50" s="1"/>
  <c r="M8" i="50" s="1"/>
  <c r="L8" i="50"/>
  <c r="W7" i="50"/>
  <c r="V7" i="50"/>
  <c r="P7" i="50"/>
  <c r="L7" i="50"/>
  <c r="W6" i="50"/>
  <c r="V6" i="50"/>
  <c r="L6" i="50"/>
  <c r="W5" i="50"/>
  <c r="V5" i="50"/>
  <c r="P5" i="50"/>
  <c r="S5" i="50" s="1"/>
  <c r="T5" i="50" s="1"/>
  <c r="L5" i="50"/>
  <c r="W4" i="50"/>
  <c r="V4" i="50"/>
  <c r="L4" i="50"/>
  <c r="W3" i="50"/>
  <c r="V3" i="50"/>
  <c r="P3" i="50"/>
  <c r="N3" i="50" s="1"/>
  <c r="M3" i="50" s="1"/>
  <c r="L3" i="50"/>
  <c r="W2" i="50"/>
  <c r="V2" i="50"/>
  <c r="L2" i="50"/>
  <c r="I17" i="49"/>
  <c r="H17" i="49"/>
  <c r="P17" i="49" s="1"/>
  <c r="I15" i="49"/>
  <c r="H15" i="49"/>
  <c r="P15" i="49" s="1"/>
  <c r="N15" i="49" s="1"/>
  <c r="M15" i="49" s="1"/>
  <c r="L18" i="49"/>
  <c r="P18" i="49"/>
  <c r="N18" i="49" s="1"/>
  <c r="M18" i="49" s="1"/>
  <c r="S18" i="49"/>
  <c r="T18" i="49" s="1"/>
  <c r="V18" i="49"/>
  <c r="W18" i="49"/>
  <c r="L19" i="49"/>
  <c r="P19" i="49"/>
  <c r="N19" i="49" s="1"/>
  <c r="M19" i="49" s="1"/>
  <c r="V19" i="49"/>
  <c r="W19" i="49"/>
  <c r="I13" i="49"/>
  <c r="H13" i="49"/>
  <c r="P13" i="49" s="1"/>
  <c r="S13" i="49" s="1"/>
  <c r="T13" i="49" s="1"/>
  <c r="I11" i="49"/>
  <c r="H11" i="49"/>
  <c r="I9" i="49"/>
  <c r="H9" i="49"/>
  <c r="P9" i="49" s="1"/>
  <c r="I7" i="49"/>
  <c r="H7" i="49"/>
  <c r="P7" i="49" s="1"/>
  <c r="I5" i="49"/>
  <c r="H5" i="49"/>
  <c r="P5" i="49" s="1"/>
  <c r="N5" i="49" s="1"/>
  <c r="M5" i="49" s="1"/>
  <c r="H3" i="49"/>
  <c r="P3" i="49" s="1"/>
  <c r="S3" i="49" s="1"/>
  <c r="T3" i="49" s="1"/>
  <c r="I2" i="49"/>
  <c r="W17" i="49"/>
  <c r="V17" i="49"/>
  <c r="L17" i="49"/>
  <c r="W16" i="49"/>
  <c r="V16" i="49"/>
  <c r="P16" i="49"/>
  <c r="S16" i="49" s="1"/>
  <c r="T16" i="49" s="1"/>
  <c r="L16" i="49"/>
  <c r="W15" i="49"/>
  <c r="V15" i="49"/>
  <c r="L15" i="49"/>
  <c r="W14" i="49"/>
  <c r="V14" i="49"/>
  <c r="P14" i="49"/>
  <c r="N14" i="49" s="1"/>
  <c r="M14" i="49" s="1"/>
  <c r="L14" i="49"/>
  <c r="W13" i="49"/>
  <c r="V13" i="49"/>
  <c r="L13" i="49"/>
  <c r="W12" i="49"/>
  <c r="V12" i="49"/>
  <c r="P12" i="49"/>
  <c r="S12" i="49" s="1"/>
  <c r="T12" i="49" s="1"/>
  <c r="L12" i="49"/>
  <c r="W11" i="49"/>
  <c r="V11" i="49"/>
  <c r="P11" i="49"/>
  <c r="L11" i="49"/>
  <c r="W10" i="49"/>
  <c r="V10" i="49"/>
  <c r="P10" i="49"/>
  <c r="S10" i="49" s="1"/>
  <c r="T10" i="49" s="1"/>
  <c r="L10" i="49"/>
  <c r="W9" i="49"/>
  <c r="V9" i="49"/>
  <c r="L9" i="49"/>
  <c r="W8" i="49"/>
  <c r="V8" i="49"/>
  <c r="P8" i="49"/>
  <c r="S8" i="49" s="1"/>
  <c r="T8" i="49" s="1"/>
  <c r="L8" i="49"/>
  <c r="W7" i="49"/>
  <c r="V7" i="49"/>
  <c r="L7" i="49"/>
  <c r="W6" i="49"/>
  <c r="V6" i="49"/>
  <c r="P6" i="49"/>
  <c r="S6" i="49" s="1"/>
  <c r="T6" i="49" s="1"/>
  <c r="L6" i="49"/>
  <c r="W5" i="49"/>
  <c r="V5" i="49"/>
  <c r="L5" i="49"/>
  <c r="W4" i="49"/>
  <c r="V4" i="49"/>
  <c r="P4" i="49"/>
  <c r="S4" i="49" s="1"/>
  <c r="T4" i="49" s="1"/>
  <c r="L4" i="49"/>
  <c r="W3" i="49"/>
  <c r="V3" i="49"/>
  <c r="L3" i="49"/>
  <c r="W2" i="49"/>
  <c r="V2" i="49"/>
  <c r="P2" i="49"/>
  <c r="N2" i="49" s="1"/>
  <c r="M2" i="49" s="1"/>
  <c r="L2" i="49"/>
  <c r="I6" i="48"/>
  <c r="S7" i="50" l="1"/>
  <c r="T7" i="50" s="1"/>
  <c r="S2" i="50"/>
  <c r="T2" i="50" s="1"/>
  <c r="S17" i="49"/>
  <c r="T17" i="49" s="1"/>
  <c r="S11" i="49"/>
  <c r="T11" i="49" s="1"/>
  <c r="N6" i="49"/>
  <c r="M6" i="49" s="1"/>
  <c r="N12" i="49"/>
  <c r="M12" i="49" s="1"/>
  <c r="N13" i="50"/>
  <c r="M13" i="50" s="1"/>
  <c r="S2" i="49"/>
  <c r="T2" i="49" s="1"/>
  <c r="S4" i="50"/>
  <c r="T4" i="50" s="1"/>
  <c r="S18" i="50"/>
  <c r="T18" i="50" s="1"/>
  <c r="S10" i="50"/>
  <c r="T10" i="50" s="1"/>
  <c r="N4" i="50"/>
  <c r="M4" i="50" s="1"/>
  <c r="M30" i="50"/>
  <c r="S6" i="50"/>
  <c r="T6" i="50" s="1"/>
  <c r="N2" i="50"/>
  <c r="M2" i="50" s="1"/>
  <c r="N7" i="50"/>
  <c r="M7" i="50" s="1"/>
  <c r="S17" i="50"/>
  <c r="T17" i="50" s="1"/>
  <c r="S8" i="50"/>
  <c r="T8" i="50" s="1"/>
  <c r="S3" i="50"/>
  <c r="T3" i="50" s="1"/>
  <c r="S19" i="50"/>
  <c r="T19" i="50" s="1"/>
  <c r="N19" i="50"/>
  <c r="M19" i="50" s="1"/>
  <c r="S12" i="50"/>
  <c r="T12" i="50" s="1"/>
  <c r="N5" i="50"/>
  <c r="M5" i="50" s="1"/>
  <c r="N16" i="50"/>
  <c r="M16" i="50" s="1"/>
  <c r="N12" i="50"/>
  <c r="M12" i="50" s="1"/>
  <c r="S9" i="50"/>
  <c r="T9" i="50" s="1"/>
  <c r="S9" i="49"/>
  <c r="T9" i="49" s="1"/>
  <c r="N9" i="49"/>
  <c r="M9" i="49" s="1"/>
  <c r="N7" i="49"/>
  <c r="M7" i="49" s="1"/>
  <c r="N8" i="49"/>
  <c r="M8" i="49" s="1"/>
  <c r="N13" i="49"/>
  <c r="M13" i="49" s="1"/>
  <c r="N3" i="49"/>
  <c r="M3" i="49" s="1"/>
  <c r="S5" i="49"/>
  <c r="T5" i="49" s="1"/>
  <c r="S15" i="49"/>
  <c r="T15" i="49" s="1"/>
  <c r="S19" i="49"/>
  <c r="T19" i="49" s="1"/>
  <c r="S14" i="49"/>
  <c r="T14" i="49" s="1"/>
  <c r="N11" i="49"/>
  <c r="M11" i="49" s="1"/>
  <c r="S7" i="49"/>
  <c r="T7" i="49" s="1"/>
  <c r="N17" i="49"/>
  <c r="M17" i="49" s="1"/>
  <c r="N4" i="49"/>
  <c r="M4" i="49" s="1"/>
  <c r="N10" i="49"/>
  <c r="M10" i="49" s="1"/>
  <c r="N16" i="49"/>
  <c r="M16" i="49" s="1"/>
  <c r="W17" i="48"/>
  <c r="V17" i="48"/>
  <c r="P17" i="48"/>
  <c r="N17" i="48"/>
  <c r="M17" i="48" s="1"/>
  <c r="L17" i="48"/>
  <c r="W16" i="48"/>
  <c r="V16" i="48"/>
  <c r="P16" i="48"/>
  <c r="N16" i="48" s="1"/>
  <c r="M16" i="48" s="1"/>
  <c r="L16" i="48"/>
  <c r="W15" i="48"/>
  <c r="V15" i="48"/>
  <c r="P15" i="48"/>
  <c r="N15" i="48" s="1"/>
  <c r="M15" i="48" s="1"/>
  <c r="L15" i="48"/>
  <c r="W14" i="48"/>
  <c r="V14" i="48"/>
  <c r="P14" i="48"/>
  <c r="L14" i="48"/>
  <c r="W13" i="48"/>
  <c r="V13" i="48"/>
  <c r="P13" i="48"/>
  <c r="N13" i="48" s="1"/>
  <c r="M13" i="48" s="1"/>
  <c r="L13" i="48"/>
  <c r="W12" i="48"/>
  <c r="V12" i="48"/>
  <c r="P12" i="48"/>
  <c r="N12" i="48" s="1"/>
  <c r="M12" i="48" s="1"/>
  <c r="L12" i="48"/>
  <c r="W11" i="48"/>
  <c r="V11" i="48"/>
  <c r="P11" i="48"/>
  <c r="N11" i="48" s="1"/>
  <c r="M11" i="48" s="1"/>
  <c r="L11" i="48"/>
  <c r="W10" i="48"/>
  <c r="V10" i="48"/>
  <c r="P10" i="48"/>
  <c r="L10" i="48"/>
  <c r="W9" i="48"/>
  <c r="V9" i="48"/>
  <c r="P9" i="48"/>
  <c r="L9" i="48"/>
  <c r="W8" i="48"/>
  <c r="V8" i="48"/>
  <c r="P8" i="48"/>
  <c r="L8" i="48"/>
  <c r="W7" i="48"/>
  <c r="V7" i="48"/>
  <c r="P7" i="48"/>
  <c r="S7" i="48" s="1"/>
  <c r="T7" i="48" s="1"/>
  <c r="L7" i="48"/>
  <c r="W6" i="48"/>
  <c r="V6" i="48"/>
  <c r="P6" i="48"/>
  <c r="L6" i="48"/>
  <c r="W5" i="48"/>
  <c r="V5" i="48"/>
  <c r="P5" i="48"/>
  <c r="N5" i="48" s="1"/>
  <c r="M5" i="48" s="1"/>
  <c r="L5" i="48"/>
  <c r="W4" i="48"/>
  <c r="V4" i="48"/>
  <c r="P4" i="48"/>
  <c r="N4" i="48" s="1"/>
  <c r="M4" i="48" s="1"/>
  <c r="L4" i="48"/>
  <c r="W3" i="48"/>
  <c r="V3" i="48"/>
  <c r="P3" i="48"/>
  <c r="N3" i="48" s="1"/>
  <c r="M3" i="48" s="1"/>
  <c r="L3" i="48"/>
  <c r="W2" i="48"/>
  <c r="V2" i="48"/>
  <c r="P2" i="48"/>
  <c r="N2" i="48" s="1"/>
  <c r="M2" i="48" s="1"/>
  <c r="L2" i="48"/>
  <c r="I2" i="48"/>
  <c r="S2" i="48" s="1"/>
  <c r="T2" i="48" s="1"/>
  <c r="L18" i="47"/>
  <c r="P18" i="47"/>
  <c r="V18" i="47"/>
  <c r="W18" i="47"/>
  <c r="I17" i="47"/>
  <c r="I16" i="47"/>
  <c r="I8" i="47"/>
  <c r="W17" i="47"/>
  <c r="V17" i="47"/>
  <c r="P17" i="47"/>
  <c r="N17" i="47" s="1"/>
  <c r="M17" i="47" s="1"/>
  <c r="L17" i="47"/>
  <c r="W16" i="47"/>
  <c r="V16" i="47"/>
  <c r="P16" i="47"/>
  <c r="L16" i="47"/>
  <c r="S16" i="47"/>
  <c r="T16" i="47" s="1"/>
  <c r="W15" i="47"/>
  <c r="V15" i="47"/>
  <c r="P15" i="47"/>
  <c r="L15" i="47"/>
  <c r="W14" i="47"/>
  <c r="V14" i="47"/>
  <c r="P14" i="47"/>
  <c r="L14" i="47"/>
  <c r="W13" i="47"/>
  <c r="V13" i="47"/>
  <c r="P13" i="47"/>
  <c r="N13" i="47" s="1"/>
  <c r="M13" i="47" s="1"/>
  <c r="L13" i="47"/>
  <c r="W12" i="47"/>
  <c r="V12" i="47"/>
  <c r="P12" i="47"/>
  <c r="L12" i="47"/>
  <c r="W11" i="47"/>
  <c r="V11" i="47"/>
  <c r="P11" i="47"/>
  <c r="L11" i="47"/>
  <c r="W10" i="47"/>
  <c r="V10" i="47"/>
  <c r="P10" i="47"/>
  <c r="N10" i="47"/>
  <c r="M10" i="47" s="1"/>
  <c r="L10" i="47"/>
  <c r="W9" i="47"/>
  <c r="V9" i="47"/>
  <c r="P9" i="47"/>
  <c r="N9" i="47" s="1"/>
  <c r="M9" i="47" s="1"/>
  <c r="L9" i="47"/>
  <c r="W8" i="47"/>
  <c r="V8" i="47"/>
  <c r="P8" i="47"/>
  <c r="L8" i="47"/>
  <c r="W7" i="47"/>
  <c r="V7" i="47"/>
  <c r="P7" i="47"/>
  <c r="N7" i="47" s="1"/>
  <c r="L7" i="47"/>
  <c r="W6" i="47"/>
  <c r="V6" i="47"/>
  <c r="P6" i="47"/>
  <c r="N6" i="47" s="1"/>
  <c r="L6" i="47"/>
  <c r="W5" i="47"/>
  <c r="V5" i="47"/>
  <c r="P5" i="47"/>
  <c r="N5" i="47" s="1"/>
  <c r="M5" i="47" s="1"/>
  <c r="L5" i="47"/>
  <c r="W4" i="47"/>
  <c r="V4" i="47"/>
  <c r="P4" i="47"/>
  <c r="L4" i="47"/>
  <c r="W3" i="47"/>
  <c r="V3" i="47"/>
  <c r="P3" i="47"/>
  <c r="L3" i="47"/>
  <c r="W2" i="47"/>
  <c r="V2" i="47"/>
  <c r="P2" i="47"/>
  <c r="N2" i="47" s="1"/>
  <c r="L2" i="47"/>
  <c r="I2" i="47"/>
  <c r="I21" i="46"/>
  <c r="L23" i="46"/>
  <c r="P23" i="46"/>
  <c r="V23" i="46"/>
  <c r="W23" i="46"/>
  <c r="W22" i="46"/>
  <c r="V22" i="46"/>
  <c r="P22" i="46"/>
  <c r="L22" i="46"/>
  <c r="W21" i="46"/>
  <c r="V21" i="46"/>
  <c r="P21" i="46"/>
  <c r="L21" i="46"/>
  <c r="W20" i="46"/>
  <c r="V20" i="46"/>
  <c r="P20" i="46"/>
  <c r="N20" i="46" s="1"/>
  <c r="M20" i="46" s="1"/>
  <c r="L20" i="46"/>
  <c r="W19" i="46"/>
  <c r="V19" i="46"/>
  <c r="P19" i="46"/>
  <c r="N19" i="46" s="1"/>
  <c r="M19" i="46" s="1"/>
  <c r="L19" i="46"/>
  <c r="W18" i="46"/>
  <c r="V18" i="46"/>
  <c r="P18" i="46"/>
  <c r="L18" i="46"/>
  <c r="I18" i="46"/>
  <c r="F18" i="46"/>
  <c r="W17" i="46"/>
  <c r="V17" i="46"/>
  <c r="P17" i="46"/>
  <c r="L17" i="46"/>
  <c r="I17" i="46"/>
  <c r="W16" i="46"/>
  <c r="V16" i="46"/>
  <c r="P16" i="46"/>
  <c r="L16" i="46"/>
  <c r="I16" i="46"/>
  <c r="F16" i="46"/>
  <c r="W15" i="46"/>
  <c r="V15" i="46"/>
  <c r="P15" i="46"/>
  <c r="N15" i="46" s="1"/>
  <c r="M15" i="46" s="1"/>
  <c r="L15" i="46"/>
  <c r="I15" i="46"/>
  <c r="S15" i="46" s="1"/>
  <c r="T15" i="46" s="1"/>
  <c r="W14" i="46"/>
  <c r="V14" i="46"/>
  <c r="P14" i="46"/>
  <c r="N14" i="46" s="1"/>
  <c r="M14" i="46" s="1"/>
  <c r="L14" i="46"/>
  <c r="I14" i="46"/>
  <c r="F14" i="46"/>
  <c r="W13" i="46"/>
  <c r="V13" i="46"/>
  <c r="P13" i="46"/>
  <c r="N13" i="46" s="1"/>
  <c r="M13" i="46" s="1"/>
  <c r="L13" i="46"/>
  <c r="I13" i="46"/>
  <c r="W12" i="46"/>
  <c r="V12" i="46"/>
  <c r="P12" i="46"/>
  <c r="N12" i="46" s="1"/>
  <c r="M12" i="46" s="1"/>
  <c r="L12" i="46"/>
  <c r="I12" i="46"/>
  <c r="F12" i="46"/>
  <c r="W11" i="46"/>
  <c r="V11" i="46"/>
  <c r="P11" i="46"/>
  <c r="N11" i="46" s="1"/>
  <c r="M11" i="46" s="1"/>
  <c r="L11" i="46"/>
  <c r="I11" i="46"/>
  <c r="W10" i="46"/>
  <c r="V10" i="46"/>
  <c r="P10" i="46"/>
  <c r="N10" i="46"/>
  <c r="M10" i="46" s="1"/>
  <c r="L10" i="46"/>
  <c r="I10" i="46"/>
  <c r="F10" i="46"/>
  <c r="W9" i="46"/>
  <c r="V9" i="46"/>
  <c r="P9" i="46"/>
  <c r="N9" i="46"/>
  <c r="M9" i="46" s="1"/>
  <c r="L9" i="46"/>
  <c r="I9" i="46"/>
  <c r="W8" i="46"/>
  <c r="V8" i="46"/>
  <c r="P8" i="46"/>
  <c r="L8" i="46"/>
  <c r="I8" i="46"/>
  <c r="F8" i="46"/>
  <c r="W7" i="46"/>
  <c r="V7" i="46"/>
  <c r="P7" i="46"/>
  <c r="N7" i="46"/>
  <c r="M7" i="46" s="1"/>
  <c r="L7" i="46"/>
  <c r="I7" i="46"/>
  <c r="W6" i="46"/>
  <c r="V6" i="46"/>
  <c r="P6" i="46"/>
  <c r="N6" i="46" s="1"/>
  <c r="M6" i="46" s="1"/>
  <c r="L6" i="46"/>
  <c r="I6" i="46"/>
  <c r="F6" i="46"/>
  <c r="W5" i="46"/>
  <c r="V5" i="46"/>
  <c r="P5" i="46"/>
  <c r="N5" i="46"/>
  <c r="M5" i="46" s="1"/>
  <c r="L5" i="46"/>
  <c r="I5" i="46"/>
  <c r="W4" i="46"/>
  <c r="V4" i="46"/>
  <c r="P4" i="46"/>
  <c r="N4" i="46" s="1"/>
  <c r="M4" i="46" s="1"/>
  <c r="L4" i="46"/>
  <c r="I4" i="46"/>
  <c r="F4" i="46"/>
  <c r="W3" i="46"/>
  <c r="V3" i="46"/>
  <c r="P3" i="46"/>
  <c r="N3" i="46" s="1"/>
  <c r="M3" i="46" s="1"/>
  <c r="L3" i="46"/>
  <c r="I3" i="46"/>
  <c r="W2" i="46"/>
  <c r="V2" i="46"/>
  <c r="P2" i="46"/>
  <c r="L2" i="46"/>
  <c r="W14" i="45"/>
  <c r="V14" i="45"/>
  <c r="P14" i="45"/>
  <c r="L14" i="45"/>
  <c r="W12" i="45"/>
  <c r="V12" i="45"/>
  <c r="P12" i="45"/>
  <c r="N12" i="45"/>
  <c r="L12" i="45"/>
  <c r="W10" i="45"/>
  <c r="V10" i="45"/>
  <c r="S10" i="45"/>
  <c r="T10" i="45" s="1"/>
  <c r="P10" i="45"/>
  <c r="N10" i="45" s="1"/>
  <c r="M10" i="45" s="1"/>
  <c r="L10" i="45"/>
  <c r="L4" i="45"/>
  <c r="P4" i="45"/>
  <c r="V4" i="45"/>
  <c r="W4" i="45"/>
  <c r="I8" i="45"/>
  <c r="L3" i="45"/>
  <c r="P3" i="45"/>
  <c r="V3" i="45"/>
  <c r="W3" i="45"/>
  <c r="W19" i="45"/>
  <c r="V19" i="45"/>
  <c r="P19" i="45"/>
  <c r="L19" i="45"/>
  <c r="W18" i="45"/>
  <c r="V18" i="45"/>
  <c r="P18" i="45"/>
  <c r="L18" i="45"/>
  <c r="S18" i="45"/>
  <c r="T18" i="45" s="1"/>
  <c r="W17" i="45"/>
  <c r="V17" i="45"/>
  <c r="P17" i="45"/>
  <c r="N17" i="45" s="1"/>
  <c r="M17" i="45" s="1"/>
  <c r="L17" i="45"/>
  <c r="W16" i="45"/>
  <c r="V16" i="45"/>
  <c r="P16" i="45"/>
  <c r="N16" i="45" s="1"/>
  <c r="M16" i="45" s="1"/>
  <c r="L16" i="45"/>
  <c r="W15" i="45"/>
  <c r="V15" i="45"/>
  <c r="P15" i="45"/>
  <c r="L15" i="45"/>
  <c r="W13" i="45"/>
  <c r="V13" i="45"/>
  <c r="P13" i="45"/>
  <c r="L13" i="45"/>
  <c r="W11" i="45"/>
  <c r="V11" i="45"/>
  <c r="P11" i="45"/>
  <c r="N11" i="45" s="1"/>
  <c r="M11" i="45" s="1"/>
  <c r="L11" i="45"/>
  <c r="W9" i="45"/>
  <c r="V9" i="45"/>
  <c r="P9" i="45"/>
  <c r="L9" i="45"/>
  <c r="W8" i="45"/>
  <c r="V8" i="45"/>
  <c r="P8" i="45"/>
  <c r="L8" i="45"/>
  <c r="W7" i="45"/>
  <c r="V7" i="45"/>
  <c r="P7" i="45"/>
  <c r="L7" i="45"/>
  <c r="W6" i="45"/>
  <c r="V6" i="45"/>
  <c r="P6" i="45"/>
  <c r="N6" i="45" s="1"/>
  <c r="M6" i="45" s="1"/>
  <c r="L6" i="45"/>
  <c r="W5" i="45"/>
  <c r="V5" i="45"/>
  <c r="P5" i="45"/>
  <c r="L5" i="45"/>
  <c r="W2" i="45"/>
  <c r="V2" i="45"/>
  <c r="P2" i="45"/>
  <c r="L2" i="45"/>
  <c r="I25" i="44"/>
  <c r="H25" i="44"/>
  <c r="P25" i="44" s="1"/>
  <c r="P24" i="44"/>
  <c r="W26" i="44"/>
  <c r="V26" i="44"/>
  <c r="P26" i="44"/>
  <c r="L26" i="44"/>
  <c r="W25" i="44"/>
  <c r="V25" i="44"/>
  <c r="L25" i="44"/>
  <c r="W24" i="44"/>
  <c r="V24" i="44"/>
  <c r="L24" i="44"/>
  <c r="W23" i="44"/>
  <c r="V23" i="44"/>
  <c r="P23" i="44"/>
  <c r="N23" i="44" s="1"/>
  <c r="M23" i="44" s="1"/>
  <c r="L23" i="44"/>
  <c r="W22" i="44"/>
  <c r="V22" i="44"/>
  <c r="P22" i="44"/>
  <c r="L22" i="44"/>
  <c r="W21" i="44"/>
  <c r="V21" i="44"/>
  <c r="P21" i="44"/>
  <c r="L21" i="44"/>
  <c r="W20" i="44"/>
  <c r="V20" i="44"/>
  <c r="P20" i="44"/>
  <c r="L20" i="44"/>
  <c r="W19" i="44"/>
  <c r="V19" i="44"/>
  <c r="P19" i="44"/>
  <c r="N19" i="44" s="1"/>
  <c r="M19" i="44" s="1"/>
  <c r="L19" i="44"/>
  <c r="W18" i="44"/>
  <c r="V18" i="44"/>
  <c r="P18" i="44"/>
  <c r="L18" i="44"/>
  <c r="W17" i="44"/>
  <c r="V17" i="44"/>
  <c r="L17" i="44"/>
  <c r="P17" i="44"/>
  <c r="W16" i="44"/>
  <c r="V16" i="44"/>
  <c r="P16" i="44"/>
  <c r="L16" i="44"/>
  <c r="W15" i="44"/>
  <c r="V15" i="44"/>
  <c r="P15" i="44"/>
  <c r="N15" i="44" s="1"/>
  <c r="M15" i="44" s="1"/>
  <c r="L15" i="44"/>
  <c r="I15" i="44"/>
  <c r="W14" i="44"/>
  <c r="V14" i="44"/>
  <c r="P14" i="44"/>
  <c r="L14" i="44"/>
  <c r="I14" i="44"/>
  <c r="W13" i="44"/>
  <c r="V13" i="44"/>
  <c r="P13" i="44"/>
  <c r="L13" i="44"/>
  <c r="I13" i="44"/>
  <c r="W12" i="44"/>
  <c r="V12" i="44"/>
  <c r="P12" i="44"/>
  <c r="N12" i="44" s="1"/>
  <c r="M12" i="44" s="1"/>
  <c r="L12" i="44"/>
  <c r="W11" i="44"/>
  <c r="V11" i="44"/>
  <c r="P11" i="44"/>
  <c r="L11" i="44"/>
  <c r="W10" i="44"/>
  <c r="V10" i="44"/>
  <c r="P10" i="44"/>
  <c r="N10" i="44" s="1"/>
  <c r="M10" i="44" s="1"/>
  <c r="L10" i="44"/>
  <c r="W9" i="44"/>
  <c r="V9" i="44"/>
  <c r="P9" i="44"/>
  <c r="L9" i="44"/>
  <c r="W8" i="44"/>
  <c r="V8" i="44"/>
  <c r="P8" i="44"/>
  <c r="L8" i="44"/>
  <c r="W7" i="44"/>
  <c r="V7" i="44"/>
  <c r="P7" i="44"/>
  <c r="N7" i="44" s="1"/>
  <c r="M7" i="44" s="1"/>
  <c r="L7" i="44"/>
  <c r="W6" i="44"/>
  <c r="V6" i="44"/>
  <c r="P6" i="44"/>
  <c r="L6" i="44"/>
  <c r="W5" i="44"/>
  <c r="V5" i="44"/>
  <c r="P5" i="44"/>
  <c r="L5" i="44"/>
  <c r="W4" i="44"/>
  <c r="V4" i="44"/>
  <c r="P4" i="44"/>
  <c r="N4" i="44" s="1"/>
  <c r="M4" i="44" s="1"/>
  <c r="L4" i="44"/>
  <c r="W3" i="44"/>
  <c r="V3" i="44"/>
  <c r="P3" i="44"/>
  <c r="L3" i="44"/>
  <c r="W2" i="44"/>
  <c r="V2" i="44"/>
  <c r="P2" i="44"/>
  <c r="N2" i="44" s="1"/>
  <c r="M2" i="44" s="1"/>
  <c r="L2" i="44"/>
  <c r="L11" i="43"/>
  <c r="P11" i="43"/>
  <c r="V11" i="43"/>
  <c r="W11" i="43"/>
  <c r="W41" i="43"/>
  <c r="V41" i="43"/>
  <c r="P41" i="43"/>
  <c r="N41" i="43" s="1"/>
  <c r="M41" i="43" s="1"/>
  <c r="L41" i="43"/>
  <c r="W40" i="43"/>
  <c r="V40" i="43"/>
  <c r="P40" i="43"/>
  <c r="S40" i="43" s="1"/>
  <c r="T40" i="43" s="1"/>
  <c r="L40" i="43"/>
  <c r="W39" i="43"/>
  <c r="V39" i="43"/>
  <c r="P39" i="43"/>
  <c r="L39" i="43"/>
  <c r="I39" i="43"/>
  <c r="W38" i="43"/>
  <c r="V38" i="43"/>
  <c r="P38" i="43"/>
  <c r="N38" i="43" s="1"/>
  <c r="M38" i="43" s="1"/>
  <c r="L38" i="43"/>
  <c r="W37" i="43"/>
  <c r="V37" i="43"/>
  <c r="P37" i="43"/>
  <c r="L37" i="43"/>
  <c r="I37" i="43"/>
  <c r="W36" i="43"/>
  <c r="V36" i="43"/>
  <c r="P36" i="43"/>
  <c r="L36" i="43"/>
  <c r="W35" i="43"/>
  <c r="V35" i="43"/>
  <c r="P35" i="43"/>
  <c r="N35" i="43" s="1"/>
  <c r="M35" i="43" s="1"/>
  <c r="L35" i="43"/>
  <c r="W34" i="43"/>
  <c r="V34" i="43"/>
  <c r="P34" i="43"/>
  <c r="N34" i="43" s="1"/>
  <c r="M34" i="43" s="1"/>
  <c r="L34" i="43"/>
  <c r="W33" i="43"/>
  <c r="V33" i="43"/>
  <c r="P33" i="43"/>
  <c r="N33" i="43" s="1"/>
  <c r="M33" i="43" s="1"/>
  <c r="L33" i="43"/>
  <c r="I33" i="43"/>
  <c r="W32" i="43"/>
  <c r="V32" i="43"/>
  <c r="P32" i="43"/>
  <c r="S32" i="43" s="1"/>
  <c r="T32" i="43" s="1"/>
  <c r="L32" i="43"/>
  <c r="W31" i="43"/>
  <c r="V31" i="43"/>
  <c r="P31" i="43"/>
  <c r="L31" i="43"/>
  <c r="I31" i="43"/>
  <c r="W29" i="43"/>
  <c r="V29" i="43"/>
  <c r="P29" i="43"/>
  <c r="N29" i="43" s="1"/>
  <c r="M29" i="43" s="1"/>
  <c r="L29" i="43"/>
  <c r="W28" i="43"/>
  <c r="V28" i="43"/>
  <c r="L28" i="43"/>
  <c r="P28" i="43"/>
  <c r="W27" i="43"/>
  <c r="V27" i="43"/>
  <c r="P27" i="43"/>
  <c r="N27" i="43" s="1"/>
  <c r="M27" i="43" s="1"/>
  <c r="L27" i="43"/>
  <c r="W26" i="43"/>
  <c r="V26" i="43"/>
  <c r="P26" i="43"/>
  <c r="N26" i="43" s="1"/>
  <c r="M26" i="43" s="1"/>
  <c r="L26" i="43"/>
  <c r="I26" i="43"/>
  <c r="W25" i="43"/>
  <c r="V25" i="43"/>
  <c r="P25" i="43"/>
  <c r="N25" i="43" s="1"/>
  <c r="M25" i="43" s="1"/>
  <c r="L25" i="43"/>
  <c r="I25" i="43"/>
  <c r="W24" i="43"/>
  <c r="V24" i="43"/>
  <c r="P24" i="43"/>
  <c r="N24" i="43" s="1"/>
  <c r="M24" i="43" s="1"/>
  <c r="L24" i="43"/>
  <c r="I24" i="43"/>
  <c r="W23" i="43"/>
  <c r="V23" i="43"/>
  <c r="P23" i="43"/>
  <c r="L23" i="43"/>
  <c r="W22" i="43"/>
  <c r="V22" i="43"/>
  <c r="L22" i="43"/>
  <c r="P22" i="43"/>
  <c r="N22" i="43" s="1"/>
  <c r="M22" i="43" s="1"/>
  <c r="W21" i="43"/>
  <c r="V21" i="43"/>
  <c r="P21" i="43"/>
  <c r="S21" i="43" s="1"/>
  <c r="T21" i="43" s="1"/>
  <c r="L21" i="43"/>
  <c r="W20" i="43"/>
  <c r="V20" i="43"/>
  <c r="P20" i="43"/>
  <c r="L20" i="43"/>
  <c r="I20" i="43"/>
  <c r="W17" i="43"/>
  <c r="V17" i="43"/>
  <c r="P17" i="43"/>
  <c r="N17" i="43" s="1"/>
  <c r="M17" i="43" s="1"/>
  <c r="L17" i="43"/>
  <c r="W16" i="43"/>
  <c r="V16" i="43"/>
  <c r="P16" i="43"/>
  <c r="L16" i="43"/>
  <c r="W15" i="43"/>
  <c r="V15" i="43"/>
  <c r="P15" i="43"/>
  <c r="N15" i="43" s="1"/>
  <c r="M15" i="43" s="1"/>
  <c r="L15" i="43"/>
  <c r="W13" i="43"/>
  <c r="V13" i="43"/>
  <c r="P13" i="43"/>
  <c r="L13" i="43"/>
  <c r="W12" i="43"/>
  <c r="V12" i="43"/>
  <c r="P12" i="43"/>
  <c r="L12" i="43"/>
  <c r="W10" i="43"/>
  <c r="V10" i="43"/>
  <c r="P10" i="43"/>
  <c r="N10" i="43" s="1"/>
  <c r="M10" i="43" s="1"/>
  <c r="L10" i="43"/>
  <c r="W9" i="43"/>
  <c r="V9" i="43"/>
  <c r="L9" i="43"/>
  <c r="P9" i="43"/>
  <c r="W8" i="43"/>
  <c r="V8" i="43"/>
  <c r="P8" i="43"/>
  <c r="N8" i="43" s="1"/>
  <c r="M8" i="43" s="1"/>
  <c r="L8" i="43"/>
  <c r="W7" i="43"/>
  <c r="V7" i="43"/>
  <c r="P7" i="43"/>
  <c r="N7" i="43" s="1"/>
  <c r="M7" i="43" s="1"/>
  <c r="L7" i="43"/>
  <c r="W6" i="43"/>
  <c r="V6" i="43"/>
  <c r="P6" i="43"/>
  <c r="S6" i="43" s="1"/>
  <c r="T6" i="43" s="1"/>
  <c r="L6" i="43"/>
  <c r="W5" i="43"/>
  <c r="V5" i="43"/>
  <c r="P5" i="43"/>
  <c r="L5" i="43"/>
  <c r="I5" i="43"/>
  <c r="W4" i="43"/>
  <c r="V4" i="43"/>
  <c r="P4" i="43"/>
  <c r="L4" i="43"/>
  <c r="W3" i="43"/>
  <c r="V3" i="43"/>
  <c r="P3" i="43"/>
  <c r="N3" i="43" s="1"/>
  <c r="M3" i="43" s="1"/>
  <c r="L3" i="43"/>
  <c r="I3" i="43"/>
  <c r="W2" i="43"/>
  <c r="V2" i="43"/>
  <c r="P2" i="43"/>
  <c r="L2" i="43"/>
  <c r="P9" i="42"/>
  <c r="N9" i="42" s="1"/>
  <c r="W40" i="42"/>
  <c r="V40" i="42"/>
  <c r="P40" i="42"/>
  <c r="N40" i="42" s="1"/>
  <c r="M40" i="42" s="1"/>
  <c r="L40" i="42"/>
  <c r="W39" i="42"/>
  <c r="V39" i="42"/>
  <c r="P39" i="42"/>
  <c r="S39" i="42" s="1"/>
  <c r="T39" i="42" s="1"/>
  <c r="L39" i="42"/>
  <c r="W38" i="42"/>
  <c r="V38" i="42"/>
  <c r="P38" i="42"/>
  <c r="N38" i="42" s="1"/>
  <c r="M38" i="42" s="1"/>
  <c r="L38" i="42"/>
  <c r="I38" i="42"/>
  <c r="W37" i="42"/>
  <c r="V37" i="42"/>
  <c r="P37" i="42"/>
  <c r="L37" i="42"/>
  <c r="W36" i="42"/>
  <c r="V36" i="42"/>
  <c r="P36" i="42"/>
  <c r="N36" i="42" s="1"/>
  <c r="M36" i="42" s="1"/>
  <c r="L36" i="42"/>
  <c r="I36" i="42"/>
  <c r="W35" i="42"/>
  <c r="V35" i="42"/>
  <c r="P35" i="42"/>
  <c r="S35" i="42" s="1"/>
  <c r="T35" i="42" s="1"/>
  <c r="L35" i="42"/>
  <c r="W34" i="42"/>
  <c r="V34" i="42"/>
  <c r="P34" i="42"/>
  <c r="N34" i="42" s="1"/>
  <c r="L34" i="42"/>
  <c r="W33" i="42"/>
  <c r="V33" i="42"/>
  <c r="P33" i="42"/>
  <c r="S33" i="42" s="1"/>
  <c r="T33" i="42" s="1"/>
  <c r="L33" i="42"/>
  <c r="W32" i="42"/>
  <c r="V32" i="42"/>
  <c r="P32" i="42"/>
  <c r="L32" i="42"/>
  <c r="I32" i="42"/>
  <c r="W31" i="42"/>
  <c r="V31" i="42"/>
  <c r="P31" i="42"/>
  <c r="N31" i="42" s="1"/>
  <c r="L31" i="42"/>
  <c r="W29" i="42"/>
  <c r="V29" i="42"/>
  <c r="P29" i="42"/>
  <c r="N29" i="42" s="1"/>
  <c r="L29" i="42"/>
  <c r="W28" i="42"/>
  <c r="V28" i="42"/>
  <c r="P28" i="42"/>
  <c r="N28" i="42" s="1"/>
  <c r="M28" i="42" s="1"/>
  <c r="L28" i="42"/>
  <c r="W26" i="42"/>
  <c r="V26" i="42"/>
  <c r="P26" i="42"/>
  <c r="N26" i="42" s="1"/>
  <c r="L26" i="42"/>
  <c r="W25" i="42"/>
  <c r="V25" i="42"/>
  <c r="P25" i="42"/>
  <c r="S25" i="42" s="1"/>
  <c r="T25" i="42" s="1"/>
  <c r="L25" i="42"/>
  <c r="W24" i="42"/>
  <c r="V24" i="42"/>
  <c r="L24" i="42"/>
  <c r="I24" i="42"/>
  <c r="H24" i="42"/>
  <c r="P24" i="42" s="1"/>
  <c r="W23" i="42"/>
  <c r="V23" i="42"/>
  <c r="P23" i="42"/>
  <c r="S23" i="42" s="1"/>
  <c r="T23" i="42" s="1"/>
  <c r="L23" i="42"/>
  <c r="W22" i="42"/>
  <c r="V22" i="42"/>
  <c r="P22" i="42"/>
  <c r="L22" i="42"/>
  <c r="I22" i="42"/>
  <c r="W21" i="42"/>
  <c r="V21" i="42"/>
  <c r="P21" i="42"/>
  <c r="N21" i="42" s="1"/>
  <c r="M21" i="42" s="1"/>
  <c r="L21" i="42"/>
  <c r="I21" i="42"/>
  <c r="W20" i="42"/>
  <c r="V20" i="42"/>
  <c r="P20" i="42"/>
  <c r="N20" i="42" s="1"/>
  <c r="L20" i="42"/>
  <c r="I20" i="42"/>
  <c r="W19" i="42"/>
  <c r="V19" i="42"/>
  <c r="P19" i="42"/>
  <c r="S19" i="42" s="1"/>
  <c r="T19" i="42" s="1"/>
  <c r="L19" i="42"/>
  <c r="W18" i="42"/>
  <c r="V18" i="42"/>
  <c r="P18" i="42"/>
  <c r="N18" i="42" s="1"/>
  <c r="L18" i="42"/>
  <c r="I18" i="42"/>
  <c r="W17" i="42"/>
  <c r="V17" i="42"/>
  <c r="P17" i="42"/>
  <c r="L17" i="42"/>
  <c r="W16" i="42"/>
  <c r="V16" i="42"/>
  <c r="P16" i="42"/>
  <c r="N16" i="42" s="1"/>
  <c r="M16" i="42" s="1"/>
  <c r="L16" i="42"/>
  <c r="W15" i="42"/>
  <c r="V15" i="42"/>
  <c r="P15" i="42"/>
  <c r="N15" i="42" s="1"/>
  <c r="L15" i="42"/>
  <c r="W13" i="42"/>
  <c r="V13" i="42"/>
  <c r="P13" i="42"/>
  <c r="N13" i="42" s="1"/>
  <c r="L13" i="42"/>
  <c r="W10" i="42"/>
  <c r="V10" i="42"/>
  <c r="P10" i="42"/>
  <c r="S10" i="42" s="1"/>
  <c r="T10" i="42" s="1"/>
  <c r="L10" i="42"/>
  <c r="W9" i="42"/>
  <c r="V9" i="42"/>
  <c r="L9" i="42"/>
  <c r="W8" i="42"/>
  <c r="V8" i="42"/>
  <c r="P8" i="42"/>
  <c r="S8" i="42" s="1"/>
  <c r="T8" i="42" s="1"/>
  <c r="L8" i="42"/>
  <c r="W7" i="42"/>
  <c r="V7" i="42"/>
  <c r="P7" i="42"/>
  <c r="N7" i="42" s="1"/>
  <c r="L7" i="42"/>
  <c r="W6" i="42"/>
  <c r="V6" i="42"/>
  <c r="P6" i="42"/>
  <c r="S6" i="42" s="1"/>
  <c r="T6" i="42" s="1"/>
  <c r="L6" i="42"/>
  <c r="W5" i="42"/>
  <c r="V5" i="42"/>
  <c r="P5" i="42"/>
  <c r="N5" i="42" s="1"/>
  <c r="M5" i="42" s="1"/>
  <c r="L5" i="42"/>
  <c r="I5" i="42"/>
  <c r="W4" i="42"/>
  <c r="V4" i="42"/>
  <c r="P4" i="42"/>
  <c r="S4" i="42" s="1"/>
  <c r="T4" i="42" s="1"/>
  <c r="L4" i="42"/>
  <c r="W3" i="42"/>
  <c r="V3" i="42"/>
  <c r="P3" i="42"/>
  <c r="N3" i="42" s="1"/>
  <c r="M3" i="42" s="1"/>
  <c r="L3" i="42"/>
  <c r="I3" i="42"/>
  <c r="W2" i="42"/>
  <c r="V2" i="42"/>
  <c r="P2" i="42"/>
  <c r="N2" i="42" s="1"/>
  <c r="M2" i="42" s="1"/>
  <c r="L2" i="42"/>
  <c r="I45" i="41"/>
  <c r="I37" i="41"/>
  <c r="I36" i="41"/>
  <c r="I32" i="41"/>
  <c r="I14" i="41"/>
  <c r="I13" i="41"/>
  <c r="I12" i="41"/>
  <c r="I11" i="41"/>
  <c r="I9" i="41"/>
  <c r="W42" i="41"/>
  <c r="V42" i="41"/>
  <c r="P42" i="41"/>
  <c r="S42" i="41" s="1"/>
  <c r="T42" i="41" s="1"/>
  <c r="N42" i="41"/>
  <c r="M42" i="41" s="1"/>
  <c r="L42" i="41"/>
  <c r="I43" i="41"/>
  <c r="I41" i="41"/>
  <c r="I39" i="41"/>
  <c r="I34" i="41"/>
  <c r="I30" i="41"/>
  <c r="I28" i="41"/>
  <c r="I26" i="41"/>
  <c r="I20" i="41"/>
  <c r="I18" i="41"/>
  <c r="I16" i="41"/>
  <c r="I7" i="41"/>
  <c r="I5" i="41"/>
  <c r="W44" i="41"/>
  <c r="V44" i="41"/>
  <c r="P44" i="41"/>
  <c r="L44" i="41"/>
  <c r="W43" i="41"/>
  <c r="V43" i="41"/>
  <c r="S43" i="41"/>
  <c r="T43" i="41" s="1"/>
  <c r="P43" i="41"/>
  <c r="N43" i="41"/>
  <c r="M43" i="41" s="1"/>
  <c r="L43" i="41"/>
  <c r="W41" i="41"/>
  <c r="V41" i="41"/>
  <c r="P41" i="41"/>
  <c r="N41" i="41" s="1"/>
  <c r="M41" i="41" s="1"/>
  <c r="L41" i="41"/>
  <c r="W40" i="41"/>
  <c r="V40" i="41"/>
  <c r="P40" i="41"/>
  <c r="N40" i="41"/>
  <c r="M40" i="41" s="1"/>
  <c r="L40" i="41"/>
  <c r="W39" i="41"/>
  <c r="V39" i="41"/>
  <c r="S39" i="41"/>
  <c r="T39" i="41" s="1"/>
  <c r="P39" i="41"/>
  <c r="N39" i="41" s="1"/>
  <c r="L39" i="41"/>
  <c r="W38" i="41"/>
  <c r="V38" i="41"/>
  <c r="P38" i="41"/>
  <c r="N38" i="41"/>
  <c r="M38" i="41" s="1"/>
  <c r="L38" i="41"/>
  <c r="W4" i="41"/>
  <c r="V4" i="41"/>
  <c r="P4" i="41"/>
  <c r="L4" i="41"/>
  <c r="W45" i="41"/>
  <c r="V45" i="41"/>
  <c r="P45" i="41"/>
  <c r="L45" i="41"/>
  <c r="W37" i="41"/>
  <c r="V37" i="41"/>
  <c r="P37" i="41"/>
  <c r="N37" i="41" s="1"/>
  <c r="M37" i="41" s="1"/>
  <c r="L37" i="41"/>
  <c r="W36" i="41"/>
  <c r="V36" i="41"/>
  <c r="P36" i="41"/>
  <c r="L36" i="41"/>
  <c r="W35" i="41"/>
  <c r="V35" i="41"/>
  <c r="P35" i="41"/>
  <c r="L35" i="41"/>
  <c r="W34" i="41"/>
  <c r="V34" i="41"/>
  <c r="P34" i="41"/>
  <c r="L34" i="41"/>
  <c r="W33" i="41"/>
  <c r="V33" i="41"/>
  <c r="P33" i="41"/>
  <c r="N33" i="41" s="1"/>
  <c r="M33" i="41" s="1"/>
  <c r="L33" i="41"/>
  <c r="W32" i="41"/>
  <c r="V32" i="41"/>
  <c r="P32" i="41"/>
  <c r="L32" i="41"/>
  <c r="W31" i="41"/>
  <c r="V31" i="41"/>
  <c r="P31" i="41"/>
  <c r="L31" i="41"/>
  <c r="W30" i="41"/>
  <c r="V30" i="41"/>
  <c r="P30" i="41"/>
  <c r="L30" i="41"/>
  <c r="W29" i="41"/>
  <c r="V29" i="41"/>
  <c r="P29" i="41"/>
  <c r="S29" i="41" s="1"/>
  <c r="T29" i="41" s="1"/>
  <c r="N29" i="41"/>
  <c r="M29" i="41" s="1"/>
  <c r="L29" i="41"/>
  <c r="W28" i="41"/>
  <c r="V28" i="41"/>
  <c r="P28" i="41"/>
  <c r="L28" i="41"/>
  <c r="W27" i="41"/>
  <c r="V27" i="41"/>
  <c r="P27" i="41"/>
  <c r="S27" i="41" s="1"/>
  <c r="T27" i="41" s="1"/>
  <c r="L27" i="41"/>
  <c r="W26" i="41"/>
  <c r="V26" i="41"/>
  <c r="L26" i="41"/>
  <c r="H26" i="41"/>
  <c r="P26" i="41" s="1"/>
  <c r="W25" i="41"/>
  <c r="V25" i="41"/>
  <c r="P25" i="41"/>
  <c r="L25" i="41"/>
  <c r="W24" i="41"/>
  <c r="V24" i="41"/>
  <c r="P24" i="41"/>
  <c r="L24" i="41"/>
  <c r="I24" i="41"/>
  <c r="W23" i="41"/>
  <c r="V23" i="41"/>
  <c r="P23" i="41"/>
  <c r="L23" i="41"/>
  <c r="I23" i="41"/>
  <c r="W22" i="41"/>
  <c r="V22" i="41"/>
  <c r="P22" i="41"/>
  <c r="L22" i="41"/>
  <c r="I22" i="41"/>
  <c r="W21" i="41"/>
  <c r="V21" i="41"/>
  <c r="P21" i="41"/>
  <c r="N21" i="41" s="1"/>
  <c r="M21" i="41" s="1"/>
  <c r="L21" i="41"/>
  <c r="W20" i="41"/>
  <c r="V20" i="41"/>
  <c r="L20" i="41"/>
  <c r="H20" i="41"/>
  <c r="P20" i="41" s="1"/>
  <c r="W19" i="41"/>
  <c r="V19" i="41"/>
  <c r="P19" i="41"/>
  <c r="L19" i="41"/>
  <c r="W18" i="41"/>
  <c r="V18" i="41"/>
  <c r="P18" i="41"/>
  <c r="L18" i="41"/>
  <c r="W17" i="41"/>
  <c r="V17" i="41"/>
  <c r="P17" i="41"/>
  <c r="S17" i="41" s="1"/>
  <c r="T17" i="41" s="1"/>
  <c r="L17" i="41"/>
  <c r="W16" i="41"/>
  <c r="V16" i="41"/>
  <c r="P16" i="41"/>
  <c r="S16" i="41" s="1"/>
  <c r="T16" i="41" s="1"/>
  <c r="L16" i="41"/>
  <c r="W15" i="41"/>
  <c r="V15" i="41"/>
  <c r="P15" i="41"/>
  <c r="N15" i="41" s="1"/>
  <c r="M15" i="41" s="1"/>
  <c r="L15" i="41"/>
  <c r="W14" i="41"/>
  <c r="V14" i="41"/>
  <c r="P14" i="41"/>
  <c r="L14" i="41"/>
  <c r="W13" i="41"/>
  <c r="V13" i="41"/>
  <c r="P13" i="41"/>
  <c r="L13" i="41"/>
  <c r="W12" i="41"/>
  <c r="V12" i="41"/>
  <c r="P12" i="41"/>
  <c r="L12" i="41"/>
  <c r="W11" i="41"/>
  <c r="V11" i="41"/>
  <c r="P11" i="41"/>
  <c r="N11" i="41"/>
  <c r="M11" i="41" s="1"/>
  <c r="L11" i="41"/>
  <c r="W10" i="41"/>
  <c r="V10" i="41"/>
  <c r="P10" i="41"/>
  <c r="S10" i="41" s="1"/>
  <c r="T10" i="41" s="1"/>
  <c r="L10" i="41"/>
  <c r="W9" i="41"/>
  <c r="V9" i="41"/>
  <c r="P9" i="41"/>
  <c r="N9" i="41" s="1"/>
  <c r="L9" i="41"/>
  <c r="W8" i="41"/>
  <c r="V8" i="41"/>
  <c r="P8" i="41"/>
  <c r="S8" i="41" s="1"/>
  <c r="T8" i="41" s="1"/>
  <c r="L8" i="41"/>
  <c r="W7" i="41"/>
  <c r="V7" i="41"/>
  <c r="P7" i="41"/>
  <c r="L7" i="41"/>
  <c r="W6" i="41"/>
  <c r="V6" i="41"/>
  <c r="P6" i="41"/>
  <c r="S6" i="41" s="1"/>
  <c r="T6" i="41" s="1"/>
  <c r="L6" i="41"/>
  <c r="W5" i="41"/>
  <c r="V5" i="41"/>
  <c r="P5" i="41"/>
  <c r="L5" i="41"/>
  <c r="W3" i="41"/>
  <c r="V3" i="41"/>
  <c r="P3" i="41"/>
  <c r="L3" i="41"/>
  <c r="W2" i="41"/>
  <c r="V2" i="41"/>
  <c r="P2" i="41"/>
  <c r="L2" i="41"/>
  <c r="W40" i="40"/>
  <c r="V40" i="40"/>
  <c r="P40" i="40"/>
  <c r="N40" i="40" s="1"/>
  <c r="M40" i="40" s="1"/>
  <c r="L40" i="40"/>
  <c r="I40" i="40"/>
  <c r="W39" i="40"/>
  <c r="V39" i="40"/>
  <c r="P39" i="40"/>
  <c r="L39" i="40"/>
  <c r="I39" i="40"/>
  <c r="W38" i="40"/>
  <c r="V38" i="40"/>
  <c r="P38" i="40"/>
  <c r="N38" i="40" s="1"/>
  <c r="M38" i="40" s="1"/>
  <c r="L38" i="40"/>
  <c r="W37" i="40"/>
  <c r="V37" i="40"/>
  <c r="P37" i="40"/>
  <c r="N37" i="40" s="1"/>
  <c r="M37" i="40" s="1"/>
  <c r="L37" i="40"/>
  <c r="I37" i="40"/>
  <c r="F37" i="40"/>
  <c r="W36" i="40"/>
  <c r="V36" i="40"/>
  <c r="P36" i="40"/>
  <c r="N36" i="40" s="1"/>
  <c r="M36" i="40" s="1"/>
  <c r="L36" i="40"/>
  <c r="W35" i="40"/>
  <c r="V35" i="40"/>
  <c r="P35" i="40"/>
  <c r="N35" i="40" s="1"/>
  <c r="M35" i="40" s="1"/>
  <c r="L35" i="40"/>
  <c r="I35" i="40"/>
  <c r="F35" i="40"/>
  <c r="W34" i="40"/>
  <c r="V34" i="40"/>
  <c r="P34" i="40"/>
  <c r="N34" i="40" s="1"/>
  <c r="M34" i="40" s="1"/>
  <c r="L34" i="40"/>
  <c r="W33" i="40"/>
  <c r="V33" i="40"/>
  <c r="P33" i="40"/>
  <c r="L33" i="40"/>
  <c r="W32" i="40"/>
  <c r="V32" i="40"/>
  <c r="P32" i="40"/>
  <c r="L32" i="40"/>
  <c r="W31" i="40"/>
  <c r="V31" i="40"/>
  <c r="P31" i="40"/>
  <c r="N31" i="40" s="1"/>
  <c r="M31" i="40" s="1"/>
  <c r="L31" i="40"/>
  <c r="W30" i="40"/>
  <c r="V30" i="40"/>
  <c r="P30" i="40"/>
  <c r="N30" i="40" s="1"/>
  <c r="M30" i="40" s="1"/>
  <c r="L30" i="40"/>
  <c r="W29" i="40"/>
  <c r="V29" i="40"/>
  <c r="P29" i="40"/>
  <c r="L29" i="40"/>
  <c r="I29" i="40"/>
  <c r="F29" i="40"/>
  <c r="W28" i="40"/>
  <c r="V28" i="40"/>
  <c r="P28" i="40"/>
  <c r="L28" i="40"/>
  <c r="W27" i="40"/>
  <c r="V27" i="40"/>
  <c r="P27" i="40"/>
  <c r="N27" i="40" s="1"/>
  <c r="M27" i="40" s="1"/>
  <c r="L27" i="40"/>
  <c r="I27" i="40"/>
  <c r="F27" i="40"/>
  <c r="W26" i="40"/>
  <c r="V26" i="40"/>
  <c r="P26" i="40"/>
  <c r="S26" i="40" s="1"/>
  <c r="T26" i="40" s="1"/>
  <c r="L26" i="40"/>
  <c r="W25" i="40"/>
  <c r="V25" i="40"/>
  <c r="P25" i="40"/>
  <c r="L25" i="40"/>
  <c r="I25" i="40"/>
  <c r="F25" i="40"/>
  <c r="W24" i="40"/>
  <c r="V24" i="40"/>
  <c r="L24" i="40"/>
  <c r="I24" i="40"/>
  <c r="H24" i="40"/>
  <c r="P24" i="40" s="1"/>
  <c r="W23" i="40"/>
  <c r="V23" i="40"/>
  <c r="P23" i="40"/>
  <c r="L23" i="40"/>
  <c r="I23" i="40"/>
  <c r="W22" i="40"/>
  <c r="V22" i="40"/>
  <c r="P22" i="40"/>
  <c r="N22" i="40" s="1"/>
  <c r="M22" i="40" s="1"/>
  <c r="L22" i="40"/>
  <c r="I22" i="40"/>
  <c r="W21" i="40"/>
  <c r="V21" i="40"/>
  <c r="P21" i="40"/>
  <c r="N21" i="40" s="1"/>
  <c r="M21" i="40" s="1"/>
  <c r="L21" i="40"/>
  <c r="I21" i="40"/>
  <c r="F21" i="40"/>
  <c r="W20" i="40"/>
  <c r="V20" i="40"/>
  <c r="L20" i="40"/>
  <c r="I20" i="40"/>
  <c r="H20" i="40"/>
  <c r="P20" i="40" s="1"/>
  <c r="N20" i="40" s="1"/>
  <c r="M20" i="40" s="1"/>
  <c r="W19" i="40"/>
  <c r="V19" i="40"/>
  <c r="P19" i="40"/>
  <c r="N19" i="40" s="1"/>
  <c r="M19" i="40" s="1"/>
  <c r="L19" i="40"/>
  <c r="I19" i="40"/>
  <c r="F19" i="40"/>
  <c r="W18" i="40"/>
  <c r="V18" i="40"/>
  <c r="P18" i="40"/>
  <c r="N18" i="40" s="1"/>
  <c r="M18" i="40" s="1"/>
  <c r="L18" i="40"/>
  <c r="I18" i="40"/>
  <c r="W17" i="40"/>
  <c r="V17" i="40"/>
  <c r="P17" i="40"/>
  <c r="N17" i="40" s="1"/>
  <c r="M17" i="40" s="1"/>
  <c r="L17" i="40"/>
  <c r="I17" i="40"/>
  <c r="F17" i="40"/>
  <c r="W16" i="40"/>
  <c r="V16" i="40"/>
  <c r="P16" i="40"/>
  <c r="N16" i="40" s="1"/>
  <c r="M16" i="40" s="1"/>
  <c r="L16" i="40"/>
  <c r="I16" i="40"/>
  <c r="W15" i="40"/>
  <c r="V15" i="40"/>
  <c r="P15" i="40"/>
  <c r="L15" i="40"/>
  <c r="I15" i="40"/>
  <c r="F15" i="40"/>
  <c r="W14" i="40"/>
  <c r="V14" i="40"/>
  <c r="P14" i="40"/>
  <c r="L14" i="40"/>
  <c r="W13" i="40"/>
  <c r="V13" i="40"/>
  <c r="P13" i="40"/>
  <c r="S13" i="40" s="1"/>
  <c r="T13" i="40" s="1"/>
  <c r="L13" i="40"/>
  <c r="W12" i="40"/>
  <c r="V12" i="40"/>
  <c r="P12" i="40"/>
  <c r="N12" i="40" s="1"/>
  <c r="M12" i="40" s="1"/>
  <c r="L12" i="40"/>
  <c r="I12" i="40"/>
  <c r="W11" i="40"/>
  <c r="V11" i="40"/>
  <c r="P11" i="40"/>
  <c r="N11" i="40" s="1"/>
  <c r="M11" i="40" s="1"/>
  <c r="L11" i="40"/>
  <c r="W10" i="40"/>
  <c r="V10" i="40"/>
  <c r="P10" i="40"/>
  <c r="L10" i="40"/>
  <c r="W9" i="40"/>
  <c r="V9" i="40"/>
  <c r="P9" i="40"/>
  <c r="L9" i="40"/>
  <c r="W8" i="40"/>
  <c r="V8" i="40"/>
  <c r="P8" i="40"/>
  <c r="N8" i="40" s="1"/>
  <c r="M8" i="40" s="1"/>
  <c r="L8" i="40"/>
  <c r="I8" i="40"/>
  <c r="F8" i="40"/>
  <c r="W7" i="40"/>
  <c r="V7" i="40"/>
  <c r="P7" i="40"/>
  <c r="N7" i="40" s="1"/>
  <c r="M7" i="40" s="1"/>
  <c r="L7" i="40"/>
  <c r="I7" i="40"/>
  <c r="W6" i="40"/>
  <c r="V6" i="40"/>
  <c r="P6" i="40"/>
  <c r="L6" i="40"/>
  <c r="I6" i="40"/>
  <c r="F6" i="40"/>
  <c r="W5" i="40"/>
  <c r="V5" i="40"/>
  <c r="P5" i="40"/>
  <c r="L5" i="40"/>
  <c r="I5" i="40"/>
  <c r="W4" i="40"/>
  <c r="V4" i="40"/>
  <c r="P4" i="40"/>
  <c r="N4" i="40" s="1"/>
  <c r="M4" i="40" s="1"/>
  <c r="L4" i="40"/>
  <c r="I4" i="40"/>
  <c r="F4" i="40"/>
  <c r="W3" i="40"/>
  <c r="V3" i="40"/>
  <c r="P3" i="40"/>
  <c r="N3" i="40" s="1"/>
  <c r="M3" i="40" s="1"/>
  <c r="L3" i="40"/>
  <c r="I3" i="40"/>
  <c r="W2" i="40"/>
  <c r="V2" i="40"/>
  <c r="P2" i="40"/>
  <c r="N2" i="40" s="1"/>
  <c r="M2" i="40" s="1"/>
  <c r="L2" i="40"/>
  <c r="W42" i="28"/>
  <c r="V42" i="28"/>
  <c r="P42" i="28"/>
  <c r="S42" i="28" s="1"/>
  <c r="T42" i="28" s="1"/>
  <c r="N42" i="28"/>
  <c r="M42" i="28" s="1"/>
  <c r="L42" i="28"/>
  <c r="W40" i="28"/>
  <c r="V40" i="28"/>
  <c r="P40" i="28"/>
  <c r="L40" i="28"/>
  <c r="W38" i="28"/>
  <c r="V38" i="28"/>
  <c r="P38" i="28"/>
  <c r="S38" i="28" s="1"/>
  <c r="T38" i="28" s="1"/>
  <c r="L38" i="28"/>
  <c r="W36" i="28"/>
  <c r="V36" i="28"/>
  <c r="P36" i="28"/>
  <c r="L36" i="28"/>
  <c r="W31" i="28"/>
  <c r="V31" i="28"/>
  <c r="P31" i="28"/>
  <c r="S31" i="28" s="1"/>
  <c r="T31" i="28" s="1"/>
  <c r="N31" i="28"/>
  <c r="M31" i="28" s="1"/>
  <c r="L31" i="28"/>
  <c r="W29" i="28"/>
  <c r="V29" i="28"/>
  <c r="P29" i="28"/>
  <c r="N29" i="28"/>
  <c r="M29" i="28" s="1"/>
  <c r="L29" i="28"/>
  <c r="W27" i="28"/>
  <c r="V27" i="28"/>
  <c r="S27" i="28"/>
  <c r="T27" i="28" s="1"/>
  <c r="P27" i="28"/>
  <c r="N27" i="28" s="1"/>
  <c r="M27" i="28" s="1"/>
  <c r="L27" i="28"/>
  <c r="W25" i="28"/>
  <c r="V25" i="28"/>
  <c r="P25" i="28"/>
  <c r="L25" i="28"/>
  <c r="W21" i="28"/>
  <c r="V21" i="28"/>
  <c r="P21" i="28"/>
  <c r="S21" i="28" s="1"/>
  <c r="T21" i="28" s="1"/>
  <c r="N21" i="28"/>
  <c r="M21" i="28" s="1"/>
  <c r="L21" i="28"/>
  <c r="W19" i="28"/>
  <c r="V19" i="28"/>
  <c r="P19" i="28"/>
  <c r="L19" i="28"/>
  <c r="W17" i="28"/>
  <c r="V17" i="28"/>
  <c r="P17" i="28"/>
  <c r="N17" i="28"/>
  <c r="M17" i="28" s="1"/>
  <c r="L17" i="28"/>
  <c r="W15" i="28"/>
  <c r="V15" i="28"/>
  <c r="S15" i="28"/>
  <c r="T15" i="28" s="1"/>
  <c r="P15" i="28"/>
  <c r="N15" i="28"/>
  <c r="M15" i="28"/>
  <c r="L15" i="28"/>
  <c r="W11" i="28"/>
  <c r="V11" i="28"/>
  <c r="P11" i="28"/>
  <c r="N11" i="28" s="1"/>
  <c r="M11" i="28" s="1"/>
  <c r="L11" i="28"/>
  <c r="W8" i="28"/>
  <c r="V8" i="28"/>
  <c r="P8" i="28"/>
  <c r="S8" i="28" s="1"/>
  <c r="T8" i="28" s="1"/>
  <c r="N8" i="28"/>
  <c r="M8" i="28" s="1"/>
  <c r="L8" i="28"/>
  <c r="W6" i="28"/>
  <c r="V6" i="28"/>
  <c r="P6" i="28"/>
  <c r="S6" i="28" s="1"/>
  <c r="T6" i="28" s="1"/>
  <c r="N6" i="28"/>
  <c r="M6" i="28"/>
  <c r="L6" i="28"/>
  <c r="L4" i="28"/>
  <c r="P4" i="28"/>
  <c r="S4" i="28" s="1"/>
  <c r="T4" i="28" s="1"/>
  <c r="V4" i="28"/>
  <c r="W4" i="28"/>
  <c r="S12" i="44" l="1"/>
  <c r="T12" i="44" s="1"/>
  <c r="S15" i="44"/>
  <c r="T15" i="44" s="1"/>
  <c r="S9" i="44"/>
  <c r="T9" i="44" s="1"/>
  <c r="S3" i="43"/>
  <c r="T3" i="43" s="1"/>
  <c r="N4" i="42"/>
  <c r="M4" i="42" s="1"/>
  <c r="S34" i="42"/>
  <c r="T34" i="42" s="1"/>
  <c r="S16" i="42"/>
  <c r="T16" i="42" s="1"/>
  <c r="S11" i="48"/>
  <c r="T11" i="48" s="1"/>
  <c r="S7" i="46"/>
  <c r="T7" i="46" s="1"/>
  <c r="S9" i="46"/>
  <c r="T9" i="46" s="1"/>
  <c r="S11" i="28"/>
  <c r="T11" i="28" s="1"/>
  <c r="N38" i="28"/>
  <c r="M38" i="28" s="1"/>
  <c r="S41" i="41"/>
  <c r="T41" i="41" s="1"/>
  <c r="S17" i="42"/>
  <c r="T17" i="42" s="1"/>
  <c r="S29" i="42"/>
  <c r="T29" i="42" s="1"/>
  <c r="S6" i="44"/>
  <c r="T6" i="44" s="1"/>
  <c r="S4" i="46"/>
  <c r="T4" i="46" s="1"/>
  <c r="S14" i="46"/>
  <c r="T14" i="46" s="1"/>
  <c r="S18" i="46"/>
  <c r="T18" i="46" s="1"/>
  <c r="S2" i="47"/>
  <c r="T2" i="47" s="1"/>
  <c r="S15" i="48"/>
  <c r="T15" i="48" s="1"/>
  <c r="S20" i="42"/>
  <c r="T20" i="42" s="1"/>
  <c r="S7" i="43"/>
  <c r="T7" i="43" s="1"/>
  <c r="S13" i="43"/>
  <c r="T13" i="43" s="1"/>
  <c r="S17" i="43"/>
  <c r="T17" i="43" s="1"/>
  <c r="S33" i="43"/>
  <c r="T33" i="43" s="1"/>
  <c r="S13" i="44"/>
  <c r="T13" i="44" s="1"/>
  <c r="S17" i="47"/>
  <c r="T17" i="47" s="1"/>
  <c r="N13" i="40"/>
  <c r="M13" i="40" s="1"/>
  <c r="S35" i="40"/>
  <c r="T35" i="40" s="1"/>
  <c r="S3" i="40"/>
  <c r="T3" i="40" s="1"/>
  <c r="S18" i="40"/>
  <c r="T18" i="40" s="1"/>
  <c r="S22" i="40"/>
  <c r="T22" i="40" s="1"/>
  <c r="S40" i="40"/>
  <c r="T40" i="40" s="1"/>
  <c r="S4" i="40"/>
  <c r="T4" i="40" s="1"/>
  <c r="S16" i="40"/>
  <c r="T16" i="40" s="1"/>
  <c r="S37" i="40"/>
  <c r="T37" i="40" s="1"/>
  <c r="S31" i="40"/>
  <c r="T31" i="40" s="1"/>
  <c r="S30" i="40"/>
  <c r="T30" i="40" s="1"/>
  <c r="S6" i="40"/>
  <c r="T6" i="40" s="1"/>
  <c r="S17" i="40"/>
  <c r="T17" i="40" s="1"/>
  <c r="S20" i="40"/>
  <c r="T20" i="40" s="1"/>
  <c r="S2" i="40"/>
  <c r="T2" i="40" s="1"/>
  <c r="S7" i="40"/>
  <c r="T7" i="40" s="1"/>
  <c r="S14" i="40"/>
  <c r="T14" i="40" s="1"/>
  <c r="S27" i="40"/>
  <c r="T27" i="40" s="1"/>
  <c r="S8" i="40"/>
  <c r="T8" i="40" s="1"/>
  <c r="S11" i="40"/>
  <c r="T11" i="40" s="1"/>
  <c r="S10" i="40"/>
  <c r="T10" i="40" s="1"/>
  <c r="S25" i="28"/>
  <c r="T25" i="28" s="1"/>
  <c r="N25" i="28"/>
  <c r="M25" i="28" s="1"/>
  <c r="N33" i="40"/>
  <c r="M33" i="40" s="1"/>
  <c r="N7" i="41"/>
  <c r="N8" i="44"/>
  <c r="M8" i="44" s="1"/>
  <c r="S34" i="40"/>
  <c r="T34" i="40" s="1"/>
  <c r="N5" i="44"/>
  <c r="M5" i="44" s="1"/>
  <c r="S36" i="28"/>
  <c r="T36" i="28" s="1"/>
  <c r="S19" i="28"/>
  <c r="T19" i="28" s="1"/>
  <c r="N19" i="28"/>
  <c r="M19" i="28" s="1"/>
  <c r="N40" i="28"/>
  <c r="M40" i="28" s="1"/>
  <c r="S33" i="40"/>
  <c r="T33" i="40" s="1"/>
  <c r="S44" i="41"/>
  <c r="T44" i="41" s="1"/>
  <c r="N44" i="41"/>
  <c r="M44" i="41" s="1"/>
  <c r="N36" i="28"/>
  <c r="M36" i="28" s="1"/>
  <c r="S40" i="28"/>
  <c r="T40" i="28" s="1"/>
  <c r="S2" i="41"/>
  <c r="T2" i="41" s="1"/>
  <c r="N2" i="41"/>
  <c r="M2" i="41" s="1"/>
  <c r="N5" i="41"/>
  <c r="M5" i="41" s="1"/>
  <c r="S5" i="41"/>
  <c r="T5" i="41" s="1"/>
  <c r="S19" i="41"/>
  <c r="T19" i="41" s="1"/>
  <c r="N19" i="41"/>
  <c r="M19" i="41" s="1"/>
  <c r="S31" i="41"/>
  <c r="T31" i="41" s="1"/>
  <c r="N31" i="41"/>
  <c r="M31" i="41" s="1"/>
  <c r="N4" i="41"/>
  <c r="M4" i="41" s="1"/>
  <c r="S4" i="41"/>
  <c r="T4" i="41" s="1"/>
  <c r="S7" i="41"/>
  <c r="T7" i="41" s="1"/>
  <c r="N16" i="46"/>
  <c r="M16" i="46" s="1"/>
  <c r="S17" i="48"/>
  <c r="T17" i="48" s="1"/>
  <c r="S29" i="28"/>
  <c r="T29" i="28" s="1"/>
  <c r="S24" i="40"/>
  <c r="T24" i="40" s="1"/>
  <c r="S36" i="40"/>
  <c r="T36" i="40" s="1"/>
  <c r="S15" i="41"/>
  <c r="T15" i="41" s="1"/>
  <c r="N3" i="44"/>
  <c r="M3" i="44" s="1"/>
  <c r="N2" i="45"/>
  <c r="M2" i="45" s="1"/>
  <c r="N17" i="46"/>
  <c r="M17" i="46" s="1"/>
  <c r="S17" i="28"/>
  <c r="T17" i="28" s="1"/>
  <c r="N9" i="40"/>
  <c r="M9" i="40" s="1"/>
  <c r="S9" i="40"/>
  <c r="T9" i="40" s="1"/>
  <c r="S38" i="40"/>
  <c r="T38" i="40" s="1"/>
  <c r="N24" i="41"/>
  <c r="M24" i="41" s="1"/>
  <c r="S4" i="43"/>
  <c r="T4" i="43" s="1"/>
  <c r="N4" i="43"/>
  <c r="M4" i="43" s="1"/>
  <c r="N37" i="43"/>
  <c r="M37" i="43" s="1"/>
  <c r="N18" i="44"/>
  <c r="M18" i="44" s="1"/>
  <c r="S4" i="45"/>
  <c r="T4" i="45" s="1"/>
  <c r="S12" i="45"/>
  <c r="T12" i="45" s="1"/>
  <c r="N2" i="46"/>
  <c r="M2" i="46" s="1"/>
  <c r="S16" i="46"/>
  <c r="T16" i="46" s="1"/>
  <c r="S5" i="40"/>
  <c r="T5" i="40" s="1"/>
  <c r="S15" i="40"/>
  <c r="T15" i="40" s="1"/>
  <c r="S19" i="40"/>
  <c r="T19" i="40" s="1"/>
  <c r="S21" i="40"/>
  <c r="T21" i="40" s="1"/>
  <c r="S39" i="40"/>
  <c r="T39" i="40" s="1"/>
  <c r="S23" i="41"/>
  <c r="T23" i="41" s="1"/>
  <c r="N25" i="41"/>
  <c r="M25" i="41" s="1"/>
  <c r="S40" i="41"/>
  <c r="T40" i="41" s="1"/>
  <c r="S9" i="41"/>
  <c r="T9" i="41" s="1"/>
  <c r="S15" i="42"/>
  <c r="T15" i="42" s="1"/>
  <c r="N37" i="42"/>
  <c r="M37" i="42" s="1"/>
  <c r="S37" i="42"/>
  <c r="T37" i="42" s="1"/>
  <c r="S5" i="44"/>
  <c r="T5" i="44" s="1"/>
  <c r="N18" i="45"/>
  <c r="M18" i="45" s="1"/>
  <c r="N14" i="45"/>
  <c r="M14" i="45" s="1"/>
  <c r="S6" i="46"/>
  <c r="T6" i="46" s="1"/>
  <c r="S13" i="48"/>
  <c r="T13" i="48" s="1"/>
  <c r="S12" i="40"/>
  <c r="T12" i="40" s="1"/>
  <c r="S23" i="40"/>
  <c r="T23" i="40" s="1"/>
  <c r="S25" i="40"/>
  <c r="T25" i="40" s="1"/>
  <c r="S29" i="40"/>
  <c r="T29" i="40" s="1"/>
  <c r="S32" i="40"/>
  <c r="T32" i="40" s="1"/>
  <c r="S11" i="41"/>
  <c r="T11" i="41" s="1"/>
  <c r="S24" i="41"/>
  <c r="T24" i="41" s="1"/>
  <c r="S38" i="41"/>
  <c r="T38" i="41" s="1"/>
  <c r="N17" i="42"/>
  <c r="M17" i="42" s="1"/>
  <c r="N22" i="42"/>
  <c r="M22" i="42" s="1"/>
  <c r="N32" i="42"/>
  <c r="M32" i="42" s="1"/>
  <c r="N13" i="44"/>
  <c r="M13" i="44" s="1"/>
  <c r="N26" i="44"/>
  <c r="M26" i="44" s="1"/>
  <c r="S5" i="45"/>
  <c r="T5" i="45" s="1"/>
  <c r="S2" i="46"/>
  <c r="T2" i="46" s="1"/>
  <c r="S17" i="46"/>
  <c r="T17" i="46" s="1"/>
  <c r="N8" i="48"/>
  <c r="M8" i="48" s="1"/>
  <c r="S8" i="48"/>
  <c r="T8" i="48" s="1"/>
  <c r="N9" i="48"/>
  <c r="M9" i="48" s="1"/>
  <c r="S9" i="48"/>
  <c r="T9" i="48" s="1"/>
  <c r="S10" i="48"/>
  <c r="T10" i="48" s="1"/>
  <c r="N10" i="48"/>
  <c r="M10" i="48" s="1"/>
  <c r="S7" i="42"/>
  <c r="T7" i="42" s="1"/>
  <c r="S22" i="42"/>
  <c r="T22" i="42" s="1"/>
  <c r="S26" i="42"/>
  <c r="T26" i="42" s="1"/>
  <c r="S32" i="42"/>
  <c r="T32" i="42" s="1"/>
  <c r="S3" i="44"/>
  <c r="T3" i="44" s="1"/>
  <c r="S8" i="44"/>
  <c r="T8" i="44" s="1"/>
  <c r="S25" i="44"/>
  <c r="T25" i="44" s="1"/>
  <c r="S21" i="46"/>
  <c r="T21" i="46" s="1"/>
  <c r="S20" i="46"/>
  <c r="T20" i="46" s="1"/>
  <c r="S13" i="47"/>
  <c r="T13" i="47" s="1"/>
  <c r="S2" i="42"/>
  <c r="T2" i="42" s="1"/>
  <c r="S21" i="42"/>
  <c r="T21" i="42" s="1"/>
  <c r="N23" i="42"/>
  <c r="M23" i="42" s="1"/>
  <c r="S38" i="42"/>
  <c r="T38" i="42" s="1"/>
  <c r="S26" i="43"/>
  <c r="T26" i="43" s="1"/>
  <c r="S37" i="43"/>
  <c r="T37" i="43" s="1"/>
  <c r="S41" i="43"/>
  <c r="T41" i="43" s="1"/>
  <c r="N6" i="44"/>
  <c r="M6" i="44" s="1"/>
  <c r="S18" i="44"/>
  <c r="T18" i="44" s="1"/>
  <c r="S23" i="44"/>
  <c r="T23" i="44" s="1"/>
  <c r="S2" i="45"/>
  <c r="T2" i="45" s="1"/>
  <c r="S5" i="46"/>
  <c r="T5" i="46" s="1"/>
  <c r="S8" i="46"/>
  <c r="T8" i="46" s="1"/>
  <c r="S10" i="46"/>
  <c r="T10" i="46" s="1"/>
  <c r="S12" i="46"/>
  <c r="T12" i="46" s="1"/>
  <c r="N18" i="46"/>
  <c r="M18" i="46" s="1"/>
  <c r="S23" i="46"/>
  <c r="T23" i="46" s="1"/>
  <c r="N6" i="48"/>
  <c r="M6" i="48" s="1"/>
  <c r="N14" i="48"/>
  <c r="M14" i="48" s="1"/>
  <c r="S5" i="48"/>
  <c r="T5" i="48" s="1"/>
  <c r="S6" i="48"/>
  <c r="T6" i="48" s="1"/>
  <c r="S3" i="48"/>
  <c r="T3" i="48" s="1"/>
  <c r="N7" i="48"/>
  <c r="M7" i="48" s="1"/>
  <c r="S12" i="48"/>
  <c r="T12" i="48" s="1"/>
  <c r="S14" i="48"/>
  <c r="T14" i="48" s="1"/>
  <c r="S16" i="48"/>
  <c r="T16" i="48" s="1"/>
  <c r="S4" i="48"/>
  <c r="T4" i="48" s="1"/>
  <c r="N18" i="47"/>
  <c r="M18" i="47" s="1"/>
  <c r="S12" i="47"/>
  <c r="T12" i="47" s="1"/>
  <c r="S18" i="47"/>
  <c r="T18" i="47" s="1"/>
  <c r="N11" i="47"/>
  <c r="M11" i="47" s="1"/>
  <c r="S6" i="47"/>
  <c r="T6" i="47" s="1"/>
  <c r="S10" i="47"/>
  <c r="T10" i="47" s="1"/>
  <c r="S14" i="47"/>
  <c r="T14" i="47" s="1"/>
  <c r="N3" i="47"/>
  <c r="N14" i="47"/>
  <c r="M14" i="47" s="1"/>
  <c r="S3" i="47"/>
  <c r="T3" i="47" s="1"/>
  <c r="S7" i="47"/>
  <c r="T7" i="47" s="1"/>
  <c r="N15" i="47"/>
  <c r="M15" i="47" s="1"/>
  <c r="S11" i="47"/>
  <c r="T11" i="47" s="1"/>
  <c r="S15" i="47"/>
  <c r="T15" i="47" s="1"/>
  <c r="S4" i="47"/>
  <c r="T4" i="47" s="1"/>
  <c r="S8" i="47"/>
  <c r="T8" i="47" s="1"/>
  <c r="S5" i="47"/>
  <c r="T5" i="47" s="1"/>
  <c r="S9" i="47"/>
  <c r="T9" i="47" s="1"/>
  <c r="M6" i="47"/>
  <c r="M2" i="47"/>
  <c r="N4" i="47"/>
  <c r="M4" i="47" s="1"/>
  <c r="M7" i="47"/>
  <c r="N8" i="47"/>
  <c r="M8" i="47" s="1"/>
  <c r="N12" i="47"/>
  <c r="M12" i="47" s="1"/>
  <c r="N16" i="47"/>
  <c r="M16" i="47" s="1"/>
  <c r="S22" i="46"/>
  <c r="T22" i="46" s="1"/>
  <c r="S3" i="46"/>
  <c r="T3" i="46" s="1"/>
  <c r="S13" i="46"/>
  <c r="T13" i="46" s="1"/>
  <c r="N23" i="46"/>
  <c r="M23" i="46" s="1"/>
  <c r="N8" i="46"/>
  <c r="M8" i="46" s="1"/>
  <c r="S11" i="46"/>
  <c r="T11" i="46" s="1"/>
  <c r="N21" i="46"/>
  <c r="M21" i="46" s="1"/>
  <c r="N22" i="46"/>
  <c r="M22" i="46" s="1"/>
  <c r="S19" i="46"/>
  <c r="T19" i="46" s="1"/>
  <c r="S17" i="45"/>
  <c r="T17" i="45" s="1"/>
  <c r="S13" i="45"/>
  <c r="T13" i="45" s="1"/>
  <c r="S6" i="45"/>
  <c r="T6" i="45" s="1"/>
  <c r="S15" i="45"/>
  <c r="T15" i="45" s="1"/>
  <c r="S16" i="45"/>
  <c r="T16" i="45" s="1"/>
  <c r="S19" i="45"/>
  <c r="T19" i="45" s="1"/>
  <c r="S14" i="45"/>
  <c r="T14" i="45" s="1"/>
  <c r="N13" i="45"/>
  <c r="M13" i="45" s="1"/>
  <c r="M12" i="45"/>
  <c r="S11" i="45"/>
  <c r="T11" i="45" s="1"/>
  <c r="S9" i="45"/>
  <c r="T9" i="45" s="1"/>
  <c r="N4" i="45"/>
  <c r="M4" i="45" s="1"/>
  <c r="S8" i="45"/>
  <c r="T8" i="45" s="1"/>
  <c r="N8" i="45"/>
  <c r="M8" i="45" s="1"/>
  <c r="N7" i="45"/>
  <c r="M7" i="45" s="1"/>
  <c r="S7" i="45"/>
  <c r="T7" i="45" s="1"/>
  <c r="N3" i="45"/>
  <c r="M3" i="45" s="1"/>
  <c r="S3" i="45"/>
  <c r="T3" i="45" s="1"/>
  <c r="N5" i="45"/>
  <c r="M5" i="45" s="1"/>
  <c r="N9" i="45"/>
  <c r="M9" i="45" s="1"/>
  <c r="N15" i="45"/>
  <c r="M15" i="45" s="1"/>
  <c r="N19" i="45"/>
  <c r="M19" i="45" s="1"/>
  <c r="S11" i="44"/>
  <c r="T11" i="44" s="1"/>
  <c r="S7" i="44"/>
  <c r="T7" i="44" s="1"/>
  <c r="N9" i="44"/>
  <c r="M9" i="44" s="1"/>
  <c r="S14" i="44"/>
  <c r="T14" i="44" s="1"/>
  <c r="S19" i="44"/>
  <c r="T19" i="44" s="1"/>
  <c r="S2" i="44"/>
  <c r="T2" i="44" s="1"/>
  <c r="S16" i="44"/>
  <c r="T16" i="44" s="1"/>
  <c r="S21" i="44"/>
  <c r="T21" i="44" s="1"/>
  <c r="N11" i="44"/>
  <c r="M11" i="44" s="1"/>
  <c r="N16" i="44"/>
  <c r="M16" i="44" s="1"/>
  <c r="N21" i="44"/>
  <c r="M21" i="44" s="1"/>
  <c r="S26" i="44"/>
  <c r="T26" i="44" s="1"/>
  <c r="S24" i="44"/>
  <c r="T24" i="44" s="1"/>
  <c r="N24" i="44"/>
  <c r="M24" i="44" s="1"/>
  <c r="S22" i="44"/>
  <c r="T22" i="44" s="1"/>
  <c r="N20" i="44"/>
  <c r="M20" i="44" s="1"/>
  <c r="S4" i="44"/>
  <c r="T4" i="44" s="1"/>
  <c r="N17" i="44"/>
  <c r="M17" i="44" s="1"/>
  <c r="S20" i="44"/>
  <c r="T20" i="44" s="1"/>
  <c r="S10" i="44"/>
  <c r="T10" i="44" s="1"/>
  <c r="N14" i="44"/>
  <c r="M14" i="44" s="1"/>
  <c r="S17" i="44"/>
  <c r="T17" i="44" s="1"/>
  <c r="N22" i="44"/>
  <c r="M22" i="44" s="1"/>
  <c r="N25" i="44"/>
  <c r="M25" i="44" s="1"/>
  <c r="N13" i="41"/>
  <c r="M13" i="41" s="1"/>
  <c r="N13" i="43"/>
  <c r="M13" i="43" s="1"/>
  <c r="S8" i="43"/>
  <c r="T8" i="43" s="1"/>
  <c r="S22" i="43"/>
  <c r="T22" i="43" s="1"/>
  <c r="S12" i="43"/>
  <c r="T12" i="43" s="1"/>
  <c r="S25" i="43"/>
  <c r="T25" i="43" s="1"/>
  <c r="S31" i="43"/>
  <c r="T31" i="43" s="1"/>
  <c r="S35" i="43"/>
  <c r="T35" i="43" s="1"/>
  <c r="S39" i="43"/>
  <c r="T39" i="43" s="1"/>
  <c r="S2" i="43"/>
  <c r="T2" i="43" s="1"/>
  <c r="S5" i="43"/>
  <c r="T5" i="43" s="1"/>
  <c r="S10" i="43"/>
  <c r="T10" i="43" s="1"/>
  <c r="S15" i="43"/>
  <c r="T15" i="43" s="1"/>
  <c r="S20" i="43"/>
  <c r="T20" i="43" s="1"/>
  <c r="S24" i="43"/>
  <c r="T24" i="43" s="1"/>
  <c r="S27" i="43"/>
  <c r="T27" i="43" s="1"/>
  <c r="S29" i="43"/>
  <c r="T29" i="43" s="1"/>
  <c r="S34" i="43"/>
  <c r="T34" i="43" s="1"/>
  <c r="S38" i="43"/>
  <c r="T38" i="43" s="1"/>
  <c r="N11" i="43"/>
  <c r="M11" i="43" s="1"/>
  <c r="S11" i="43"/>
  <c r="T11" i="43" s="1"/>
  <c r="S9" i="43"/>
  <c r="T9" i="43" s="1"/>
  <c r="N9" i="43"/>
  <c r="M9" i="43" s="1"/>
  <c r="S28" i="43"/>
  <c r="T28" i="43" s="1"/>
  <c r="N28" i="43"/>
  <c r="M28" i="43" s="1"/>
  <c r="N2" i="43"/>
  <c r="M2" i="43" s="1"/>
  <c r="N5" i="43"/>
  <c r="M5" i="43" s="1"/>
  <c r="N12" i="43"/>
  <c r="M12" i="43" s="1"/>
  <c r="N16" i="43"/>
  <c r="M16" i="43" s="1"/>
  <c r="S16" i="43"/>
  <c r="T16" i="43" s="1"/>
  <c r="N20" i="43"/>
  <c r="M20" i="43" s="1"/>
  <c r="N23" i="43"/>
  <c r="M23" i="43" s="1"/>
  <c r="S23" i="43"/>
  <c r="T23" i="43" s="1"/>
  <c r="N31" i="43"/>
  <c r="M31" i="43" s="1"/>
  <c r="N36" i="43"/>
  <c r="M36" i="43" s="1"/>
  <c r="S36" i="43"/>
  <c r="T36" i="43" s="1"/>
  <c r="N39" i="43"/>
  <c r="M39" i="43" s="1"/>
  <c r="N6" i="43"/>
  <c r="M6" i="43" s="1"/>
  <c r="N21" i="43"/>
  <c r="M21" i="43" s="1"/>
  <c r="N32" i="43"/>
  <c r="M32" i="43" s="1"/>
  <c r="N40" i="43"/>
  <c r="M40" i="43" s="1"/>
  <c r="S40" i="42"/>
  <c r="T40" i="42" s="1"/>
  <c r="S3" i="42"/>
  <c r="T3" i="42" s="1"/>
  <c r="S13" i="42"/>
  <c r="T13" i="42" s="1"/>
  <c r="S31" i="42"/>
  <c r="T31" i="42" s="1"/>
  <c r="S5" i="42"/>
  <c r="T5" i="42" s="1"/>
  <c r="S18" i="42"/>
  <c r="T18" i="42" s="1"/>
  <c r="S28" i="42"/>
  <c r="T28" i="42" s="1"/>
  <c r="S36" i="42"/>
  <c r="T36" i="42" s="1"/>
  <c r="S9" i="42"/>
  <c r="T9" i="42" s="1"/>
  <c r="N24" i="42"/>
  <c r="M24" i="42" s="1"/>
  <c r="S24" i="42"/>
  <c r="T24" i="42" s="1"/>
  <c r="M26" i="42"/>
  <c r="M34" i="42"/>
  <c r="M9" i="42"/>
  <c r="M13" i="42"/>
  <c r="M31" i="42"/>
  <c r="M18" i="42"/>
  <c r="N6" i="42"/>
  <c r="N39" i="42"/>
  <c r="N8" i="42"/>
  <c r="M8" i="42" s="1"/>
  <c r="N25" i="42"/>
  <c r="M25" i="42" s="1"/>
  <c r="N33" i="42"/>
  <c r="M33" i="42" s="1"/>
  <c r="M7" i="42"/>
  <c r="N10" i="42"/>
  <c r="M10" i="42" s="1"/>
  <c r="M15" i="42"/>
  <c r="N19" i="42"/>
  <c r="M19" i="42" s="1"/>
  <c r="M20" i="42"/>
  <c r="M29" i="42"/>
  <c r="N35" i="42"/>
  <c r="M35" i="42" s="1"/>
  <c r="S14" i="41"/>
  <c r="T14" i="41" s="1"/>
  <c r="S12" i="41"/>
  <c r="T12" i="41" s="1"/>
  <c r="S22" i="41"/>
  <c r="T22" i="41" s="1"/>
  <c r="S13" i="41"/>
  <c r="T13" i="41" s="1"/>
  <c r="N17" i="41"/>
  <c r="M17" i="41" s="1"/>
  <c r="S21" i="41"/>
  <c r="T21" i="41" s="1"/>
  <c r="S25" i="41"/>
  <c r="T25" i="41" s="1"/>
  <c r="S33" i="41"/>
  <c r="T33" i="41" s="1"/>
  <c r="N22" i="41"/>
  <c r="M22" i="41" s="1"/>
  <c r="N27" i="41"/>
  <c r="M27" i="41" s="1"/>
  <c r="S37" i="41"/>
  <c r="T37" i="41" s="1"/>
  <c r="S18" i="41"/>
  <c r="T18" i="41" s="1"/>
  <c r="S3" i="41"/>
  <c r="T3" i="41" s="1"/>
  <c r="M39" i="41"/>
  <c r="N35" i="41"/>
  <c r="M35" i="41" s="1"/>
  <c r="S35" i="41"/>
  <c r="T35" i="41" s="1"/>
  <c r="S20" i="41"/>
  <c r="T20" i="41" s="1"/>
  <c r="N20" i="41"/>
  <c r="M20" i="41" s="1"/>
  <c r="S26" i="41"/>
  <c r="T26" i="41" s="1"/>
  <c r="N26" i="41"/>
  <c r="M26" i="41" s="1"/>
  <c r="M9" i="41"/>
  <c r="N23" i="41"/>
  <c r="M23" i="41" s="1"/>
  <c r="N28" i="41"/>
  <c r="M28" i="41" s="1"/>
  <c r="S28" i="41"/>
  <c r="T28" i="41" s="1"/>
  <c r="N30" i="41"/>
  <c r="M30" i="41" s="1"/>
  <c r="S30" i="41"/>
  <c r="T30" i="41" s="1"/>
  <c r="N32" i="41"/>
  <c r="M32" i="41" s="1"/>
  <c r="S32" i="41"/>
  <c r="T32" i="41" s="1"/>
  <c r="N34" i="41"/>
  <c r="M34" i="41" s="1"/>
  <c r="S34" i="41"/>
  <c r="T34" i="41" s="1"/>
  <c r="N36" i="41"/>
  <c r="M36" i="41" s="1"/>
  <c r="S36" i="41"/>
  <c r="T36" i="41" s="1"/>
  <c r="N45" i="41"/>
  <c r="M45" i="41" s="1"/>
  <c r="S45" i="41"/>
  <c r="T45" i="41" s="1"/>
  <c r="N3" i="41"/>
  <c r="M3" i="41" s="1"/>
  <c r="N6" i="41"/>
  <c r="M6" i="41" s="1"/>
  <c r="N8" i="41"/>
  <c r="M8" i="41" s="1"/>
  <c r="N10" i="41"/>
  <c r="M10" i="41" s="1"/>
  <c r="N12" i="41"/>
  <c r="M12" i="41" s="1"/>
  <c r="N14" i="41"/>
  <c r="M14" i="41" s="1"/>
  <c r="N16" i="41"/>
  <c r="M16" i="41" s="1"/>
  <c r="N18" i="41"/>
  <c r="M18" i="41" s="1"/>
  <c r="N5" i="40"/>
  <c r="M5" i="40" s="1"/>
  <c r="N6" i="40"/>
  <c r="M6" i="40" s="1"/>
  <c r="N10" i="40"/>
  <c r="M10" i="40" s="1"/>
  <c r="N14" i="40"/>
  <c r="M14" i="40" s="1"/>
  <c r="N15" i="40"/>
  <c r="M15" i="40" s="1"/>
  <c r="N23" i="40"/>
  <c r="M23" i="40" s="1"/>
  <c r="N24" i="40"/>
  <c r="M24" i="40" s="1"/>
  <c r="N25" i="40"/>
  <c r="M25" i="40" s="1"/>
  <c r="N28" i="40"/>
  <c r="M28" i="40" s="1"/>
  <c r="S28" i="40"/>
  <c r="T28" i="40" s="1"/>
  <c r="N29" i="40"/>
  <c r="M29" i="40" s="1"/>
  <c r="N32" i="40"/>
  <c r="M32" i="40" s="1"/>
  <c r="N39" i="40"/>
  <c r="M39" i="40" s="1"/>
  <c r="N26" i="40"/>
  <c r="M26" i="40" s="1"/>
  <c r="N4" i="28"/>
  <c r="M4" i="28" s="1"/>
  <c r="I37" i="39"/>
  <c r="S37" i="39" s="1"/>
  <c r="T37" i="39" s="1"/>
  <c r="F37" i="39"/>
  <c r="I35" i="39"/>
  <c r="S35" i="39" s="1"/>
  <c r="T35" i="39" s="1"/>
  <c r="F35" i="39"/>
  <c r="I33" i="39"/>
  <c r="S33" i="39" s="1"/>
  <c r="T33" i="39" s="1"/>
  <c r="F33" i="39"/>
  <c r="I30" i="39"/>
  <c r="S30" i="39" s="1"/>
  <c r="T30" i="39" s="1"/>
  <c r="F30" i="39"/>
  <c r="I28" i="39"/>
  <c r="S28" i="39" s="1"/>
  <c r="T28" i="39" s="1"/>
  <c r="F28" i="39"/>
  <c r="I26" i="39"/>
  <c r="S26" i="39" s="1"/>
  <c r="T26" i="39" s="1"/>
  <c r="F26" i="39"/>
  <c r="I24" i="39"/>
  <c r="S24" i="39" s="1"/>
  <c r="T24" i="39" s="1"/>
  <c r="F24" i="39"/>
  <c r="I20" i="39"/>
  <c r="S20" i="39" s="1"/>
  <c r="T20" i="39" s="1"/>
  <c r="F20" i="39"/>
  <c r="I18" i="39"/>
  <c r="S18" i="39" s="1"/>
  <c r="T18" i="39" s="1"/>
  <c r="F18" i="39"/>
  <c r="I16" i="39"/>
  <c r="S16" i="39" s="1"/>
  <c r="T16" i="39" s="1"/>
  <c r="F16" i="39"/>
  <c r="I14" i="39"/>
  <c r="S14" i="39" s="1"/>
  <c r="T14" i="39" s="1"/>
  <c r="F14" i="39"/>
  <c r="I8" i="39"/>
  <c r="S8" i="39" s="1"/>
  <c r="T8" i="39" s="1"/>
  <c r="F8" i="39"/>
  <c r="I6" i="39"/>
  <c r="S6" i="39" s="1"/>
  <c r="T6" i="39" s="1"/>
  <c r="F6" i="39"/>
  <c r="I4" i="39"/>
  <c r="F4" i="39"/>
  <c r="L4" i="39"/>
  <c r="P4" i="39"/>
  <c r="N4" i="39" s="1"/>
  <c r="V4" i="39"/>
  <c r="W4" i="39"/>
  <c r="I40" i="39"/>
  <c r="S40" i="39" s="1"/>
  <c r="T40" i="39" s="1"/>
  <c r="I39" i="39"/>
  <c r="S39" i="39" s="1"/>
  <c r="T39" i="39" s="1"/>
  <c r="S32" i="39"/>
  <c r="T32" i="39" s="1"/>
  <c r="I31" i="39"/>
  <c r="S31" i="39" s="1"/>
  <c r="T31" i="39" s="1"/>
  <c r="S29" i="39"/>
  <c r="T29" i="39" s="1"/>
  <c r="I23" i="39"/>
  <c r="H23" i="39"/>
  <c r="P23" i="39" s="1"/>
  <c r="I22" i="39"/>
  <c r="S22" i="39" s="1"/>
  <c r="T22" i="39" s="1"/>
  <c r="I21" i="39"/>
  <c r="S21" i="39" s="1"/>
  <c r="T21" i="39" s="1"/>
  <c r="I19" i="39"/>
  <c r="H19" i="39"/>
  <c r="P19" i="39" s="1"/>
  <c r="I17" i="39"/>
  <c r="S17" i="39" s="1"/>
  <c r="T17" i="39" s="1"/>
  <c r="I15" i="39"/>
  <c r="S15" i="39" s="1"/>
  <c r="T15" i="39" s="1"/>
  <c r="S13" i="39"/>
  <c r="T13" i="39" s="1"/>
  <c r="I12" i="39"/>
  <c r="S12" i="39" s="1"/>
  <c r="T12" i="39" s="1"/>
  <c r="I7" i="39"/>
  <c r="S7" i="39" s="1"/>
  <c r="T7" i="39" s="1"/>
  <c r="W5" i="39"/>
  <c r="V5" i="39"/>
  <c r="P5" i="39"/>
  <c r="N5" i="39" s="1"/>
  <c r="L5" i="39"/>
  <c r="I5" i="39"/>
  <c r="W3" i="39"/>
  <c r="V3" i="39"/>
  <c r="P3" i="39"/>
  <c r="N3" i="39" s="1"/>
  <c r="M3" i="39" s="1"/>
  <c r="L3" i="39"/>
  <c r="I3" i="39"/>
  <c r="W2" i="39"/>
  <c r="V2" i="39"/>
  <c r="P2" i="39"/>
  <c r="N2" i="39" s="1"/>
  <c r="M2" i="39" s="1"/>
  <c r="L2" i="39"/>
  <c r="I2" i="38"/>
  <c r="W14" i="38"/>
  <c r="V14" i="38"/>
  <c r="P14" i="38"/>
  <c r="L14" i="38"/>
  <c r="W13" i="38"/>
  <c r="V13" i="38"/>
  <c r="P13" i="38"/>
  <c r="S13" i="38" s="1"/>
  <c r="T13" i="38" s="1"/>
  <c r="L13" i="38"/>
  <c r="W12" i="38"/>
  <c r="V12" i="38"/>
  <c r="P12" i="38"/>
  <c r="N12" i="38" s="1"/>
  <c r="M12" i="38" s="1"/>
  <c r="L12" i="38"/>
  <c r="W11" i="38"/>
  <c r="V11" i="38"/>
  <c r="P11" i="38"/>
  <c r="S11" i="38" s="1"/>
  <c r="T11" i="38" s="1"/>
  <c r="L11" i="38"/>
  <c r="W10" i="38"/>
  <c r="V10" i="38"/>
  <c r="P10" i="38"/>
  <c r="N10" i="38" s="1"/>
  <c r="M10" i="38" s="1"/>
  <c r="L10" i="38"/>
  <c r="W9" i="38"/>
  <c r="V9" i="38"/>
  <c r="P9" i="38"/>
  <c r="L9" i="38"/>
  <c r="W8" i="38"/>
  <c r="V8" i="38"/>
  <c r="P8" i="38"/>
  <c r="N8" i="38" s="1"/>
  <c r="M8" i="38" s="1"/>
  <c r="L8" i="38"/>
  <c r="W7" i="38"/>
  <c r="V7" i="38"/>
  <c r="P7" i="38"/>
  <c r="L7" i="38"/>
  <c r="W6" i="38"/>
  <c r="V6" i="38"/>
  <c r="P6" i="38"/>
  <c r="L6" i="38"/>
  <c r="W5" i="38"/>
  <c r="V5" i="38"/>
  <c r="P5" i="38"/>
  <c r="N5" i="38" s="1"/>
  <c r="M5" i="38" s="1"/>
  <c r="L5" i="38"/>
  <c r="W4" i="38"/>
  <c r="V4" i="38"/>
  <c r="P4" i="38"/>
  <c r="S4" i="38" s="1"/>
  <c r="T4" i="38" s="1"/>
  <c r="L4" i="38"/>
  <c r="W2" i="38"/>
  <c r="V2" i="38"/>
  <c r="P2" i="38"/>
  <c r="N2" i="38" s="1"/>
  <c r="M2" i="38" s="1"/>
  <c r="L2" i="38"/>
  <c r="I4" i="37"/>
  <c r="I3" i="37"/>
  <c r="N4" i="38" l="1"/>
  <c r="M4" i="38" s="1"/>
  <c r="S5" i="39"/>
  <c r="T5" i="39" s="1"/>
  <c r="N19" i="39"/>
  <c r="M19" i="39" s="1"/>
  <c r="N23" i="39"/>
  <c r="M23" i="39" s="1"/>
  <c r="S19" i="39"/>
  <c r="T19" i="39" s="1"/>
  <c r="S23" i="39"/>
  <c r="T23" i="39" s="1"/>
  <c r="N13" i="38"/>
  <c r="M13" i="38" s="1"/>
  <c r="S3" i="39"/>
  <c r="T3" i="39" s="1"/>
  <c r="S4" i="39"/>
  <c r="T4" i="39" s="1"/>
  <c r="N9" i="38"/>
  <c r="M9" i="38" s="1"/>
  <c r="M7" i="41"/>
  <c r="N6" i="38"/>
  <c r="M6" i="38" s="1"/>
  <c r="N11" i="38"/>
  <c r="M11" i="38" s="1"/>
  <c r="M3" i="47"/>
  <c r="M39" i="42"/>
  <c r="M6" i="42"/>
  <c r="M4" i="39"/>
  <c r="M5" i="39"/>
  <c r="S2" i="39"/>
  <c r="T2" i="39" s="1"/>
  <c r="S9" i="38"/>
  <c r="T9" i="38" s="1"/>
  <c r="S10" i="38"/>
  <c r="T10" i="38" s="1"/>
  <c r="S7" i="38"/>
  <c r="T7" i="38" s="1"/>
  <c r="S5" i="38"/>
  <c r="T5" i="38" s="1"/>
  <c r="N7" i="38"/>
  <c r="M7" i="38" s="1"/>
  <c r="N14" i="38"/>
  <c r="M14" i="38" s="1"/>
  <c r="S8" i="38"/>
  <c r="T8" i="38" s="1"/>
  <c r="S14" i="38"/>
  <c r="T14" i="38" s="1"/>
  <c r="S6" i="38"/>
  <c r="T6" i="38" s="1"/>
  <c r="S2" i="38"/>
  <c r="T2" i="38" s="1"/>
  <c r="S12" i="38"/>
  <c r="T12" i="38" s="1"/>
  <c r="I2" i="37"/>
  <c r="W20" i="37"/>
  <c r="V20" i="37"/>
  <c r="P20" i="37"/>
  <c r="L20" i="37"/>
  <c r="W19" i="37"/>
  <c r="V19" i="37"/>
  <c r="P19" i="37"/>
  <c r="N19" i="37" s="1"/>
  <c r="M19" i="37" s="1"/>
  <c r="L19" i="37"/>
  <c r="W16" i="37"/>
  <c r="V16" i="37"/>
  <c r="P16" i="37"/>
  <c r="L16" i="37"/>
  <c r="W15" i="37"/>
  <c r="V15" i="37"/>
  <c r="P15" i="37"/>
  <c r="L15" i="37"/>
  <c r="W14" i="37"/>
  <c r="V14" i="37"/>
  <c r="P14" i="37"/>
  <c r="N14" i="37" s="1"/>
  <c r="M14" i="37" s="1"/>
  <c r="L14" i="37"/>
  <c r="W13" i="37"/>
  <c r="V13" i="37"/>
  <c r="P13" i="37"/>
  <c r="L13" i="37"/>
  <c r="W12" i="37"/>
  <c r="V12" i="37"/>
  <c r="P12" i="37"/>
  <c r="N12" i="37" s="1"/>
  <c r="M12" i="37" s="1"/>
  <c r="L12" i="37"/>
  <c r="W11" i="37"/>
  <c r="V11" i="37"/>
  <c r="P11" i="37"/>
  <c r="S11" i="37" s="1"/>
  <c r="T11" i="37" s="1"/>
  <c r="L11" i="37"/>
  <c r="W10" i="37"/>
  <c r="V10" i="37"/>
  <c r="P10" i="37"/>
  <c r="S10" i="37" s="1"/>
  <c r="T10" i="37" s="1"/>
  <c r="L10" i="37"/>
  <c r="W9" i="37"/>
  <c r="V9" i="37"/>
  <c r="P9" i="37"/>
  <c r="L9" i="37"/>
  <c r="W8" i="37"/>
  <c r="V8" i="37"/>
  <c r="P8" i="37"/>
  <c r="S8" i="37" s="1"/>
  <c r="T8" i="37" s="1"/>
  <c r="L8" i="37"/>
  <c r="W7" i="37"/>
  <c r="V7" i="37"/>
  <c r="P7" i="37"/>
  <c r="L7" i="37"/>
  <c r="W4" i="37"/>
  <c r="V4" i="37"/>
  <c r="P4" i="37"/>
  <c r="L4" i="37"/>
  <c r="W3" i="37"/>
  <c r="V3" i="37"/>
  <c r="P3" i="37"/>
  <c r="L3" i="37"/>
  <c r="W2" i="37"/>
  <c r="V2" i="37"/>
  <c r="P2" i="37"/>
  <c r="L2" i="37"/>
  <c r="I18" i="36"/>
  <c r="F18" i="36"/>
  <c r="I17" i="36"/>
  <c r="I16" i="36"/>
  <c r="F16" i="36"/>
  <c r="I15" i="36"/>
  <c r="L18" i="36"/>
  <c r="P18" i="36"/>
  <c r="N18" i="36" s="1"/>
  <c r="V18" i="36"/>
  <c r="W18" i="36"/>
  <c r="L19" i="36"/>
  <c r="P19" i="36"/>
  <c r="N19" i="36" s="1"/>
  <c r="V19" i="36"/>
  <c r="W19" i="36"/>
  <c r="L20" i="36"/>
  <c r="P20" i="36"/>
  <c r="V20" i="36"/>
  <c r="W20" i="36"/>
  <c r="I14" i="36"/>
  <c r="F14" i="36"/>
  <c r="I13" i="36"/>
  <c r="I12" i="36"/>
  <c r="F12" i="36"/>
  <c r="I11" i="36"/>
  <c r="I10" i="36"/>
  <c r="F10" i="36"/>
  <c r="I9" i="36"/>
  <c r="I8" i="36"/>
  <c r="F8" i="36"/>
  <c r="I7" i="36"/>
  <c r="I6" i="36"/>
  <c r="F6" i="36"/>
  <c r="I5" i="36"/>
  <c r="F4" i="36"/>
  <c r="W17" i="36"/>
  <c r="V17" i="36"/>
  <c r="P17" i="36"/>
  <c r="N17" i="36"/>
  <c r="M17" i="36" s="1"/>
  <c r="L17" i="36"/>
  <c r="W16" i="36"/>
  <c r="V16" i="36"/>
  <c r="P16" i="36"/>
  <c r="N16" i="36" s="1"/>
  <c r="M16" i="36" s="1"/>
  <c r="L16" i="36"/>
  <c r="W15" i="36"/>
  <c r="V15" i="36"/>
  <c r="P15" i="36"/>
  <c r="L15" i="36"/>
  <c r="W14" i="36"/>
  <c r="V14" i="36"/>
  <c r="P14" i="36"/>
  <c r="L14" i="36"/>
  <c r="W13" i="36"/>
  <c r="V13" i="36"/>
  <c r="P13" i="36"/>
  <c r="N13" i="36"/>
  <c r="M13" i="36" s="1"/>
  <c r="L13" i="36"/>
  <c r="W12" i="36"/>
  <c r="V12" i="36"/>
  <c r="P12" i="36"/>
  <c r="N12" i="36" s="1"/>
  <c r="M12" i="36" s="1"/>
  <c r="L12" i="36"/>
  <c r="W11" i="36"/>
  <c r="V11" i="36"/>
  <c r="P11" i="36"/>
  <c r="N11" i="36" s="1"/>
  <c r="M11" i="36" s="1"/>
  <c r="L11" i="36"/>
  <c r="W10" i="36"/>
  <c r="V10" i="36"/>
  <c r="P10" i="36"/>
  <c r="N10" i="36" s="1"/>
  <c r="M10" i="36" s="1"/>
  <c r="L10" i="36"/>
  <c r="W9" i="36"/>
  <c r="V9" i="36"/>
  <c r="P9" i="36"/>
  <c r="L9" i="36"/>
  <c r="W8" i="36"/>
  <c r="V8" i="36"/>
  <c r="P8" i="36"/>
  <c r="L8" i="36"/>
  <c r="W7" i="36"/>
  <c r="V7" i="36"/>
  <c r="P7" i="36"/>
  <c r="S7" i="36" s="1"/>
  <c r="T7" i="36" s="1"/>
  <c r="L7" i="36"/>
  <c r="W6" i="36"/>
  <c r="V6" i="36"/>
  <c r="P6" i="36"/>
  <c r="S6" i="36" s="1"/>
  <c r="T6" i="36" s="1"/>
  <c r="L6" i="36"/>
  <c r="W5" i="36"/>
  <c r="V5" i="36"/>
  <c r="P5" i="36"/>
  <c r="L5" i="36"/>
  <c r="W4" i="36"/>
  <c r="V4" i="36"/>
  <c r="P4" i="36"/>
  <c r="L4" i="36"/>
  <c r="W3" i="36"/>
  <c r="V3" i="36"/>
  <c r="P3" i="36"/>
  <c r="L3" i="36"/>
  <c r="W2" i="36"/>
  <c r="V2" i="36"/>
  <c r="P2" i="36"/>
  <c r="L2" i="36"/>
  <c r="S14" i="36" l="1"/>
  <c r="T14" i="36" s="1"/>
  <c r="S8" i="36"/>
  <c r="T8" i="36" s="1"/>
  <c r="S18" i="36"/>
  <c r="T18" i="36" s="1"/>
  <c r="S19" i="36"/>
  <c r="T19" i="36" s="1"/>
  <c r="N9" i="36"/>
  <c r="M9" i="36" s="1"/>
  <c r="N20" i="37"/>
  <c r="M20" i="37" s="1"/>
  <c r="N14" i="36"/>
  <c r="M14" i="36" s="1"/>
  <c r="N3" i="37"/>
  <c r="M3" i="37" s="1"/>
  <c r="N4" i="37"/>
  <c r="M4" i="37" s="1"/>
  <c r="N8" i="37"/>
  <c r="M8" i="37" s="1"/>
  <c r="N11" i="37"/>
  <c r="M11" i="37" s="1"/>
  <c r="S4" i="37"/>
  <c r="T4" i="37" s="1"/>
  <c r="N10" i="37"/>
  <c r="M10" i="37" s="1"/>
  <c r="S20" i="37"/>
  <c r="T20" i="37" s="1"/>
  <c r="N13" i="37"/>
  <c r="M13" i="37" s="1"/>
  <c r="S13" i="37"/>
  <c r="T13" i="37" s="1"/>
  <c r="S7" i="37"/>
  <c r="T7" i="37" s="1"/>
  <c r="S9" i="37"/>
  <c r="T9" i="37" s="1"/>
  <c r="N9" i="37"/>
  <c r="M9" i="37" s="1"/>
  <c r="S2" i="37"/>
  <c r="T2" i="37" s="1"/>
  <c r="N2" i="37"/>
  <c r="M2" i="37" s="1"/>
  <c r="S14" i="37"/>
  <c r="T14" i="37" s="1"/>
  <c r="S15" i="37"/>
  <c r="T15" i="37" s="1"/>
  <c r="S19" i="37"/>
  <c r="T19" i="37" s="1"/>
  <c r="S16" i="37"/>
  <c r="T16" i="37" s="1"/>
  <c r="S3" i="37"/>
  <c r="T3" i="37" s="1"/>
  <c r="N7" i="37"/>
  <c r="M7" i="37" s="1"/>
  <c r="S12" i="37"/>
  <c r="T12" i="37" s="1"/>
  <c r="N15" i="37"/>
  <c r="M15" i="37" s="1"/>
  <c r="N16" i="37"/>
  <c r="M16" i="37" s="1"/>
  <c r="S16" i="36"/>
  <c r="T16" i="36" s="1"/>
  <c r="S4" i="36"/>
  <c r="T4" i="36" s="1"/>
  <c r="S12" i="36"/>
  <c r="T12" i="36" s="1"/>
  <c r="S2" i="36"/>
  <c r="T2" i="36" s="1"/>
  <c r="S5" i="36"/>
  <c r="T5" i="36" s="1"/>
  <c r="N8" i="36"/>
  <c r="M8" i="36" s="1"/>
  <c r="S10" i="36"/>
  <c r="T10" i="36" s="1"/>
  <c r="S17" i="36"/>
  <c r="T17" i="36" s="1"/>
  <c r="M19" i="36"/>
  <c r="M18" i="36"/>
  <c r="N20" i="36"/>
  <c r="M20" i="36" s="1"/>
  <c r="S20" i="36"/>
  <c r="T20" i="36" s="1"/>
  <c r="S11" i="36"/>
  <c r="T11" i="36" s="1"/>
  <c r="N2" i="36"/>
  <c r="M2" i="36" s="1"/>
  <c r="N3" i="36"/>
  <c r="M3" i="36" s="1"/>
  <c r="N7" i="36"/>
  <c r="M7" i="36" s="1"/>
  <c r="N5" i="36"/>
  <c r="M5" i="36" s="1"/>
  <c r="N15" i="36"/>
  <c r="M15" i="36" s="1"/>
  <c r="S3" i="36"/>
  <c r="T3" i="36" s="1"/>
  <c r="S9" i="36"/>
  <c r="T9" i="36" s="1"/>
  <c r="S15" i="36"/>
  <c r="T15" i="36" s="1"/>
  <c r="N4" i="36"/>
  <c r="M4" i="36" s="1"/>
  <c r="N6" i="36"/>
  <c r="M6" i="36" s="1"/>
  <c r="S13" i="36"/>
  <c r="T13" i="36" s="1"/>
  <c r="P3" i="28"/>
  <c r="P5" i="28"/>
  <c r="P7" i="28"/>
  <c r="P9" i="28"/>
  <c r="P10" i="28"/>
  <c r="N10" i="28" s="1"/>
  <c r="P12" i="28"/>
  <c r="P13" i="28"/>
  <c r="P14" i="28"/>
  <c r="P16" i="28"/>
  <c r="N16" i="28" s="1"/>
  <c r="P18" i="28"/>
  <c r="P22" i="28"/>
  <c r="P23" i="28"/>
  <c r="P26" i="28"/>
  <c r="P28" i="28"/>
  <c r="N28" i="28" s="1"/>
  <c r="P30" i="28"/>
  <c r="P32" i="28"/>
  <c r="P33" i="28"/>
  <c r="P34" i="28"/>
  <c r="P35" i="28"/>
  <c r="P37" i="28"/>
  <c r="P39" i="28"/>
  <c r="N39" i="28" s="1"/>
  <c r="P41" i="28"/>
  <c r="N41" i="28" s="1"/>
  <c r="P43" i="28"/>
  <c r="P44" i="28"/>
  <c r="N3" i="28"/>
  <c r="N7" i="28"/>
  <c r="N9" i="28"/>
  <c r="N13" i="28"/>
  <c r="N14" i="28"/>
  <c r="N22" i="28"/>
  <c r="N23" i="28"/>
  <c r="N26" i="28"/>
  <c r="N30" i="28"/>
  <c r="N33" i="28"/>
  <c r="N34" i="28"/>
  <c r="N35" i="28"/>
  <c r="N43" i="28"/>
  <c r="B3" i="14"/>
  <c r="Q7" i="37" l="1"/>
  <c r="Q5" i="37"/>
  <c r="R5" i="37" s="1"/>
  <c r="Q21" i="38"/>
  <c r="R21" i="38" s="1"/>
  <c r="Q17" i="37"/>
  <c r="R17" i="37" s="1"/>
  <c r="Q18" i="37"/>
  <c r="R18" i="37" s="1"/>
  <c r="Q3" i="38"/>
  <c r="R3" i="38" s="1"/>
  <c r="Q16" i="38"/>
  <c r="R16" i="38" s="1"/>
  <c r="Q22" i="38"/>
  <c r="R22" i="38" s="1"/>
  <c r="Q17" i="38"/>
  <c r="R17" i="38" s="1"/>
  <c r="Q19" i="38"/>
  <c r="R19" i="38" s="1"/>
  <c r="Q18" i="38"/>
  <c r="R18" i="38" s="1"/>
  <c r="Q20" i="38"/>
  <c r="R20" i="38" s="1"/>
  <c r="Q15" i="38"/>
  <c r="R15" i="38" s="1"/>
  <c r="Q16" i="32"/>
  <c r="R16" i="32" s="1"/>
  <c r="Q6" i="37"/>
  <c r="R6" i="37" s="1"/>
  <c r="Q4" i="33"/>
  <c r="R4" i="33" s="1"/>
  <c r="Q5" i="29"/>
  <c r="R5" i="29" s="1"/>
  <c r="Q3" i="29"/>
  <c r="R3" i="29" s="1"/>
  <c r="Q13" i="29"/>
  <c r="R13" i="29" s="1"/>
  <c r="Q25" i="29"/>
  <c r="R25" i="29" s="1"/>
  <c r="Q27" i="29"/>
  <c r="R27" i="29" s="1"/>
  <c r="Q29" i="29"/>
  <c r="R29" i="29" s="1"/>
  <c r="Q41" i="29"/>
  <c r="R41" i="29" s="1"/>
  <c r="Q43" i="29"/>
  <c r="R43" i="29" s="1"/>
  <c r="Q38" i="29"/>
  <c r="R38" i="29" s="1"/>
  <c r="Q33" i="29"/>
  <c r="R33" i="29" s="1"/>
  <c r="Q10" i="29"/>
  <c r="R10" i="29" s="1"/>
  <c r="Q38" i="39"/>
  <c r="R38" i="39" s="1"/>
  <c r="Q29" i="39"/>
  <c r="R29" i="39" s="1"/>
  <c r="Q26" i="29"/>
  <c r="R26" i="29" s="1"/>
  <c r="Q17" i="29"/>
  <c r="R17" i="29" s="1"/>
  <c r="Q9" i="39"/>
  <c r="R9" i="39" s="1"/>
  <c r="Q31" i="39"/>
  <c r="R31" i="39" s="1"/>
  <c r="Q22" i="39"/>
  <c r="R22" i="39" s="1"/>
  <c r="Q13" i="39"/>
  <c r="R13" i="39" s="1"/>
  <c r="Q11" i="29"/>
  <c r="R11" i="29" s="1"/>
  <c r="Q42" i="29"/>
  <c r="R42" i="29" s="1"/>
  <c r="Q14" i="29"/>
  <c r="R14" i="29" s="1"/>
  <c r="Q19" i="29"/>
  <c r="R19" i="29" s="1"/>
  <c r="Q9" i="29"/>
  <c r="R9" i="29" s="1"/>
  <c r="Q37" i="39"/>
  <c r="R37" i="39" s="1"/>
  <c r="Q27" i="39"/>
  <c r="R27" i="39" s="1"/>
  <c r="Q22" i="29"/>
  <c r="R22" i="29" s="1"/>
  <c r="Q36" i="39"/>
  <c r="R36" i="39" s="1"/>
  <c r="Q40" i="39"/>
  <c r="R40" i="39" s="1"/>
  <c r="Q35" i="39"/>
  <c r="R35" i="39" s="1"/>
  <c r="Q26" i="39"/>
  <c r="R26" i="39" s="1"/>
  <c r="Q16" i="39"/>
  <c r="R16" i="39" s="1"/>
  <c r="Q36" i="29"/>
  <c r="R36" i="29" s="1"/>
  <c r="Q28" i="29"/>
  <c r="R28" i="29" s="1"/>
  <c r="Q16" i="29"/>
  <c r="R16" i="29" s="1"/>
  <c r="Q34" i="29"/>
  <c r="R34" i="29" s="1"/>
  <c r="Q30" i="29"/>
  <c r="R30" i="29" s="1"/>
  <c r="Q32" i="39"/>
  <c r="R32" i="39" s="1"/>
  <c r="Q25" i="39"/>
  <c r="R25" i="39" s="1"/>
  <c r="Q21" i="29"/>
  <c r="R21" i="29" s="1"/>
  <c r="Q34" i="39"/>
  <c r="R34" i="39" s="1"/>
  <c r="Q15" i="39"/>
  <c r="R15" i="39" s="1"/>
  <c r="Q23" i="29"/>
  <c r="R23" i="29" s="1"/>
  <c r="Q21" i="39"/>
  <c r="R21" i="39" s="1"/>
  <c r="Q30" i="39"/>
  <c r="R30" i="39" s="1"/>
  <c r="Q6" i="29"/>
  <c r="R6" i="29" s="1"/>
  <c r="Q18" i="29"/>
  <c r="R18" i="29" s="1"/>
  <c r="Q11" i="39"/>
  <c r="R11" i="39" s="1"/>
  <c r="Q18" i="39"/>
  <c r="R18" i="39" s="1"/>
  <c r="Q32" i="29"/>
  <c r="R32" i="29" s="1"/>
  <c r="Q12" i="29"/>
  <c r="R12" i="29" s="1"/>
  <c r="Q4" i="29"/>
  <c r="R4" i="29" s="1"/>
  <c r="Q44" i="29"/>
  <c r="R44" i="29" s="1"/>
  <c r="Q8" i="29"/>
  <c r="R8" i="29" s="1"/>
  <c r="Q7" i="29"/>
  <c r="R7" i="29" s="1"/>
  <c r="Q12" i="39"/>
  <c r="R12" i="39" s="1"/>
  <c r="Q17" i="39"/>
  <c r="R17" i="39" s="1"/>
  <c r="Q39" i="29"/>
  <c r="R39" i="29" s="1"/>
  <c r="Q35" i="29"/>
  <c r="R35" i="29" s="1"/>
  <c r="Q8" i="39"/>
  <c r="R8" i="39" s="1"/>
  <c r="Q7" i="39"/>
  <c r="R7" i="39" s="1"/>
  <c r="Q10" i="39"/>
  <c r="R10" i="39" s="1"/>
  <c r="Q33" i="39"/>
  <c r="R33" i="39" s="1"/>
  <c r="Q20" i="39"/>
  <c r="R20" i="39" s="1"/>
  <c r="Q37" i="29"/>
  <c r="R37" i="29" s="1"/>
  <c r="Q31" i="29"/>
  <c r="R31" i="29" s="1"/>
  <c r="Q6" i="39"/>
  <c r="R6" i="39" s="1"/>
  <c r="Q39" i="39"/>
  <c r="R39" i="39" s="1"/>
  <c r="Q28" i="39"/>
  <c r="R28" i="39" s="1"/>
  <c r="Q24" i="39"/>
  <c r="R24" i="39" s="1"/>
  <c r="Q14" i="39"/>
  <c r="R14" i="39" s="1"/>
  <c r="Q15" i="29"/>
  <c r="R15" i="29" s="1"/>
  <c r="Q40" i="29"/>
  <c r="R40" i="29" s="1"/>
  <c r="Q23" i="39"/>
  <c r="R23" i="39" s="1"/>
  <c r="Q19" i="39"/>
  <c r="R19" i="39" s="1"/>
  <c r="Q44" i="28"/>
  <c r="Q37" i="28"/>
  <c r="N37" i="28"/>
  <c r="Q12" i="28"/>
  <c r="N12" i="28"/>
  <c r="R12" i="28" s="1"/>
  <c r="Q5" i="36"/>
  <c r="R5" i="36" s="1"/>
  <c r="Q2" i="37"/>
  <c r="R2" i="37" s="1"/>
  <c r="Q23" i="28"/>
  <c r="Q3" i="28"/>
  <c r="R3" i="28" s="1"/>
  <c r="Q39" i="28"/>
  <c r="Q33" i="28"/>
  <c r="S26" i="28"/>
  <c r="Q26" i="28"/>
  <c r="R26" i="28" s="1"/>
  <c r="Q13" i="28"/>
  <c r="Q7" i="28"/>
  <c r="Q4" i="36"/>
  <c r="R4" i="36" s="1"/>
  <c r="Q6" i="36"/>
  <c r="R6" i="36" s="1"/>
  <c r="Q2" i="36"/>
  <c r="R2" i="36" s="1"/>
  <c r="Q14" i="36"/>
  <c r="R14" i="36" s="1"/>
  <c r="Q8" i="37"/>
  <c r="R8" i="37" s="1"/>
  <c r="Q15" i="37"/>
  <c r="R15" i="37" s="1"/>
  <c r="Q31" i="50"/>
  <c r="R31" i="50" s="1"/>
  <c r="Q39" i="51"/>
  <c r="R39" i="51" s="1"/>
  <c r="Q29" i="50"/>
  <c r="R29" i="50" s="1"/>
  <c r="Q21" i="50"/>
  <c r="R21" i="50" s="1"/>
  <c r="Q25" i="50"/>
  <c r="R25" i="50" s="1"/>
  <c r="Q2" i="51"/>
  <c r="R2" i="51" s="1"/>
  <c r="Q28" i="50"/>
  <c r="R28" i="50" s="1"/>
  <c r="Q37" i="51"/>
  <c r="R37" i="51" s="1"/>
  <c r="Q22" i="50"/>
  <c r="R22" i="50" s="1"/>
  <c r="Q24" i="50"/>
  <c r="R24" i="50" s="1"/>
  <c r="Q27" i="50"/>
  <c r="R27" i="50" s="1"/>
  <c r="Q38" i="51"/>
  <c r="R38" i="51" s="1"/>
  <c r="Q30" i="50"/>
  <c r="R30" i="50" s="1"/>
  <c r="Q23" i="50"/>
  <c r="R23" i="50" s="1"/>
  <c r="Q26" i="50"/>
  <c r="R26" i="50" s="1"/>
  <c r="Q20" i="50"/>
  <c r="R20" i="50" s="1"/>
  <c r="Q36" i="51"/>
  <c r="R36" i="51" s="1"/>
  <c r="Q2" i="49"/>
  <c r="R2" i="49" s="1"/>
  <c r="Q3" i="49"/>
  <c r="R3" i="49" s="1"/>
  <c r="Q3" i="50"/>
  <c r="R3" i="50" s="1"/>
  <c r="Q5" i="50"/>
  <c r="R5" i="50" s="1"/>
  <c r="Q8" i="50"/>
  <c r="R8" i="50" s="1"/>
  <c r="Q6" i="50"/>
  <c r="R6" i="50" s="1"/>
  <c r="Q15" i="49"/>
  <c r="R15" i="49" s="1"/>
  <c r="Q12" i="49"/>
  <c r="R12" i="49" s="1"/>
  <c r="Q4" i="49"/>
  <c r="R4" i="49" s="1"/>
  <c r="Q18" i="50"/>
  <c r="R18" i="50" s="1"/>
  <c r="Q7" i="50"/>
  <c r="R7" i="50" s="1"/>
  <c r="Q14" i="49"/>
  <c r="R14" i="49" s="1"/>
  <c r="Q8" i="49"/>
  <c r="R8" i="49" s="1"/>
  <c r="Q5" i="49"/>
  <c r="R5" i="49" s="1"/>
  <c r="Q17" i="49"/>
  <c r="R17" i="49" s="1"/>
  <c r="Q10" i="45"/>
  <c r="R10" i="45" s="1"/>
  <c r="Q23" i="44"/>
  <c r="R23" i="44" s="1"/>
  <c r="Q12" i="44"/>
  <c r="R12" i="44" s="1"/>
  <c r="Q20" i="42"/>
  <c r="R20" i="42" s="1"/>
  <c r="Q4" i="50"/>
  <c r="R4" i="50" s="1"/>
  <c r="Q9" i="49"/>
  <c r="R9" i="49" s="1"/>
  <c r="Q3" i="43"/>
  <c r="R3" i="43" s="1"/>
  <c r="Q12" i="50"/>
  <c r="R12" i="50" s="1"/>
  <c r="Q13" i="50"/>
  <c r="R13" i="50" s="1"/>
  <c r="Q2" i="50"/>
  <c r="R2" i="50" s="1"/>
  <c r="Q19" i="50"/>
  <c r="R19" i="50" s="1"/>
  <c r="Q19" i="49"/>
  <c r="R19" i="49" s="1"/>
  <c r="Q13" i="49"/>
  <c r="R13" i="49" s="1"/>
  <c r="Q10" i="49"/>
  <c r="R10" i="49" s="1"/>
  <c r="Q43" i="41"/>
  <c r="R43" i="41" s="1"/>
  <c r="Q10" i="50"/>
  <c r="R10" i="50" s="1"/>
  <c r="Q6" i="49"/>
  <c r="R6" i="49" s="1"/>
  <c r="Q16" i="49"/>
  <c r="R16" i="49" s="1"/>
  <c r="Q14" i="46"/>
  <c r="R14" i="46" s="1"/>
  <c r="Q39" i="41"/>
  <c r="R39" i="41" s="1"/>
  <c r="Q13" i="40"/>
  <c r="R13" i="40" s="1"/>
  <c r="Q16" i="50"/>
  <c r="R16" i="50" s="1"/>
  <c r="Q15" i="46"/>
  <c r="R15" i="46" s="1"/>
  <c r="Q34" i="42"/>
  <c r="R34" i="42" s="1"/>
  <c r="Q17" i="40"/>
  <c r="R17" i="40" s="1"/>
  <c r="Q11" i="49"/>
  <c r="R11" i="49" s="1"/>
  <c r="Q2" i="48"/>
  <c r="R2" i="48" s="1"/>
  <c r="Q2" i="47"/>
  <c r="R2" i="47" s="1"/>
  <c r="Q39" i="42"/>
  <c r="R39" i="42" s="1"/>
  <c r="Q12" i="41"/>
  <c r="R12" i="41" s="1"/>
  <c r="Q16" i="48"/>
  <c r="R16" i="48" s="1"/>
  <c r="Q31" i="28"/>
  <c r="R31" i="28" s="1"/>
  <c r="Q17" i="50"/>
  <c r="R17" i="50" s="1"/>
  <c r="Q42" i="28"/>
  <c r="R42" i="28" s="1"/>
  <c r="Q38" i="28"/>
  <c r="R38" i="28" s="1"/>
  <c r="Q3" i="40"/>
  <c r="R3" i="40" s="1"/>
  <c r="Q15" i="28"/>
  <c r="R15" i="28" s="1"/>
  <c r="Q8" i="28"/>
  <c r="R8" i="28" s="1"/>
  <c r="Q6" i="28"/>
  <c r="R6" i="28" s="1"/>
  <c r="Q9" i="50"/>
  <c r="R9" i="50" s="1"/>
  <c r="Q7" i="49"/>
  <c r="R7" i="49" s="1"/>
  <c r="Q18" i="49"/>
  <c r="R18" i="49" s="1"/>
  <c r="Q30" i="40"/>
  <c r="R30" i="40" s="1"/>
  <c r="Q5" i="41"/>
  <c r="R5" i="41" s="1"/>
  <c r="Q9" i="40"/>
  <c r="R9" i="40" s="1"/>
  <c r="Q7" i="40"/>
  <c r="R7" i="40" s="1"/>
  <c r="Q11" i="28"/>
  <c r="R11" i="28" s="1"/>
  <c r="Q16" i="40"/>
  <c r="R16" i="40" s="1"/>
  <c r="Q39" i="40"/>
  <c r="R39" i="40" s="1"/>
  <c r="Q8" i="44"/>
  <c r="R8" i="44" s="1"/>
  <c r="Q5" i="44"/>
  <c r="R5" i="44" s="1"/>
  <c r="Q27" i="28"/>
  <c r="R27" i="28" s="1"/>
  <c r="Q29" i="40"/>
  <c r="R29" i="40" s="1"/>
  <c r="Q32" i="41"/>
  <c r="R32" i="41" s="1"/>
  <c r="Q45" i="41"/>
  <c r="R45" i="41" s="1"/>
  <c r="Q13" i="41"/>
  <c r="R13" i="41" s="1"/>
  <c r="Q4" i="47"/>
  <c r="R4" i="47" s="1"/>
  <c r="Q15" i="41"/>
  <c r="R15" i="41" s="1"/>
  <c r="Q41" i="43"/>
  <c r="R41" i="43" s="1"/>
  <c r="Q9" i="45"/>
  <c r="R9" i="45" s="1"/>
  <c r="Q14" i="47"/>
  <c r="R14" i="47" s="1"/>
  <c r="Q21" i="28"/>
  <c r="R21" i="28" s="1"/>
  <c r="Q4" i="40"/>
  <c r="R4" i="40" s="1"/>
  <c r="Q11" i="40"/>
  <c r="R11" i="40" s="1"/>
  <c r="Q38" i="40"/>
  <c r="R38" i="40" s="1"/>
  <c r="Q24" i="41"/>
  <c r="R24" i="41" s="1"/>
  <c r="Q23" i="43"/>
  <c r="R23" i="43" s="1"/>
  <c r="Q4" i="45"/>
  <c r="R4" i="45" s="1"/>
  <c r="Q11" i="41"/>
  <c r="R11" i="41" s="1"/>
  <c r="Q28" i="41"/>
  <c r="R28" i="41" s="1"/>
  <c r="Q14" i="45"/>
  <c r="R14" i="45" s="1"/>
  <c r="Q10" i="46"/>
  <c r="R10" i="46" s="1"/>
  <c r="Q6" i="41"/>
  <c r="R6" i="41" s="1"/>
  <c r="Q17" i="41"/>
  <c r="R17" i="41" s="1"/>
  <c r="Q38" i="41"/>
  <c r="R38" i="41" s="1"/>
  <c r="Q17" i="42"/>
  <c r="R17" i="42" s="1"/>
  <c r="Q33" i="43"/>
  <c r="R33" i="43" s="1"/>
  <c r="Q21" i="44"/>
  <c r="R21" i="44" s="1"/>
  <c r="Q19" i="45"/>
  <c r="R19" i="45" s="1"/>
  <c r="Q9" i="48"/>
  <c r="R9" i="48" s="1"/>
  <c r="Q6" i="44"/>
  <c r="R6" i="44" s="1"/>
  <c r="Q16" i="43"/>
  <c r="R16" i="43" s="1"/>
  <c r="Q23" i="46"/>
  <c r="R23" i="46" s="1"/>
  <c r="Q3" i="48"/>
  <c r="R3" i="48" s="1"/>
  <c r="Q8" i="48"/>
  <c r="R8" i="48" s="1"/>
  <c r="Q13" i="47"/>
  <c r="R13" i="47" s="1"/>
  <c r="Q6" i="47"/>
  <c r="R6" i="47" s="1"/>
  <c r="Q4" i="46"/>
  <c r="R4" i="46" s="1"/>
  <c r="Q11" i="45"/>
  <c r="R11" i="45" s="1"/>
  <c r="Q7" i="44"/>
  <c r="R7" i="44" s="1"/>
  <c r="Q7" i="41"/>
  <c r="R7" i="41" s="1"/>
  <c r="Q25" i="28"/>
  <c r="R25" i="28" s="1"/>
  <c r="Q22" i="40"/>
  <c r="R22" i="40" s="1"/>
  <c r="Q37" i="40"/>
  <c r="R37" i="40" s="1"/>
  <c r="Q24" i="40"/>
  <c r="R24" i="40" s="1"/>
  <c r="Q44" i="41"/>
  <c r="R44" i="41" s="1"/>
  <c r="Q35" i="41"/>
  <c r="R35" i="41" s="1"/>
  <c r="Q17" i="48"/>
  <c r="R17" i="48" s="1"/>
  <c r="Q29" i="28"/>
  <c r="R29" i="28" s="1"/>
  <c r="Q40" i="40"/>
  <c r="R40" i="40" s="1"/>
  <c r="Q23" i="41"/>
  <c r="R23" i="41" s="1"/>
  <c r="Q3" i="44"/>
  <c r="R3" i="44" s="1"/>
  <c r="Q7" i="45"/>
  <c r="R7" i="45" s="1"/>
  <c r="Q15" i="45"/>
  <c r="R15" i="45" s="1"/>
  <c r="Q11" i="47"/>
  <c r="R11" i="47" s="1"/>
  <c r="Q17" i="28"/>
  <c r="R17" i="28" s="1"/>
  <c r="Q18" i="41"/>
  <c r="R18" i="41" s="1"/>
  <c r="Q37" i="43"/>
  <c r="R37" i="43" s="1"/>
  <c r="Q24" i="44"/>
  <c r="R24" i="44" s="1"/>
  <c r="Q8" i="46"/>
  <c r="R8" i="46" s="1"/>
  <c r="Q14" i="40"/>
  <c r="R14" i="40" s="1"/>
  <c r="Q25" i="41"/>
  <c r="R25" i="41" s="1"/>
  <c r="Q37" i="42"/>
  <c r="R37" i="42" s="1"/>
  <c r="Q18" i="45"/>
  <c r="R18" i="45" s="1"/>
  <c r="Q5" i="46"/>
  <c r="R5" i="46" s="1"/>
  <c r="Q13" i="48"/>
  <c r="R13" i="48" s="1"/>
  <c r="Q41" i="41"/>
  <c r="R41" i="41" s="1"/>
  <c r="Q12" i="43"/>
  <c r="R12" i="43" s="1"/>
  <c r="Q13" i="44"/>
  <c r="R13" i="44" s="1"/>
  <c r="Q26" i="44"/>
  <c r="R26" i="44" s="1"/>
  <c r="Q9" i="44"/>
  <c r="R9" i="44" s="1"/>
  <c r="Q2" i="43"/>
  <c r="R2" i="43" s="1"/>
  <c r="Q31" i="43"/>
  <c r="R31" i="43" s="1"/>
  <c r="Q11" i="43"/>
  <c r="R11" i="43" s="1"/>
  <c r="Q16" i="44"/>
  <c r="R16" i="44" s="1"/>
  <c r="Q9" i="46"/>
  <c r="R9" i="46" s="1"/>
  <c r="Q16" i="47"/>
  <c r="R16" i="47" s="1"/>
  <c r="Q7" i="48"/>
  <c r="R7" i="48" s="1"/>
  <c r="Q10" i="48"/>
  <c r="R10" i="48" s="1"/>
  <c r="Q12" i="48"/>
  <c r="R12" i="48" s="1"/>
  <c r="Q4" i="48"/>
  <c r="R4" i="48" s="1"/>
  <c r="Q13" i="46"/>
  <c r="R13" i="46" s="1"/>
  <c r="Q19" i="46"/>
  <c r="R19" i="46" s="1"/>
  <c r="Q16" i="45"/>
  <c r="R16" i="45" s="1"/>
  <c r="Q6" i="45"/>
  <c r="R6" i="45" s="1"/>
  <c r="Q10" i="44"/>
  <c r="R10" i="44" s="1"/>
  <c r="Q7" i="43"/>
  <c r="R7" i="43" s="1"/>
  <c r="Q29" i="43"/>
  <c r="R29" i="43" s="1"/>
  <c r="Q28" i="43"/>
  <c r="R28" i="43" s="1"/>
  <c r="Q6" i="43"/>
  <c r="R6" i="43" s="1"/>
  <c r="Q32" i="43"/>
  <c r="R32" i="43" s="1"/>
  <c r="Q25" i="42"/>
  <c r="R25" i="42" s="1"/>
  <c r="Q18" i="42"/>
  <c r="R18" i="42" s="1"/>
  <c r="Q36" i="42"/>
  <c r="R36" i="42" s="1"/>
  <c r="Q13" i="42"/>
  <c r="R13" i="42" s="1"/>
  <c r="Q24" i="42"/>
  <c r="R24" i="42" s="1"/>
  <c r="Q10" i="42"/>
  <c r="R10" i="42" s="1"/>
  <c r="Q28" i="42"/>
  <c r="R28" i="42" s="1"/>
  <c r="Q29" i="41"/>
  <c r="R29" i="41" s="1"/>
  <c r="Q20" i="40"/>
  <c r="R20" i="40" s="1"/>
  <c r="Q4" i="28"/>
  <c r="R4" i="28" s="1"/>
  <c r="Q35" i="40"/>
  <c r="R35" i="40" s="1"/>
  <c r="Q32" i="40"/>
  <c r="R32" i="40" s="1"/>
  <c r="Q14" i="41"/>
  <c r="R14" i="41" s="1"/>
  <c r="Q25" i="40"/>
  <c r="R25" i="40" s="1"/>
  <c r="Q2" i="41"/>
  <c r="R2" i="41" s="1"/>
  <c r="Q19" i="41"/>
  <c r="R19" i="41" s="1"/>
  <c r="Q36" i="41"/>
  <c r="R36" i="41" s="1"/>
  <c r="Q3" i="47"/>
  <c r="R3" i="47" s="1"/>
  <c r="Q39" i="43"/>
  <c r="R39" i="43" s="1"/>
  <c r="Q2" i="45"/>
  <c r="R2" i="45" s="1"/>
  <c r="Q8" i="45"/>
  <c r="R8" i="45" s="1"/>
  <c r="Q17" i="46"/>
  <c r="R17" i="46" s="1"/>
  <c r="Q12" i="47"/>
  <c r="R12" i="47" s="1"/>
  <c r="Q18" i="44"/>
  <c r="R18" i="44" s="1"/>
  <c r="Q2" i="46"/>
  <c r="R2" i="46" s="1"/>
  <c r="Q11" i="44"/>
  <c r="R11" i="44" s="1"/>
  <c r="Q10" i="40"/>
  <c r="R10" i="40" s="1"/>
  <c r="Q28" i="40"/>
  <c r="R28" i="40" s="1"/>
  <c r="Q3" i="41"/>
  <c r="R3" i="41" s="1"/>
  <c r="Q16" i="41"/>
  <c r="R16" i="41" s="1"/>
  <c r="Q30" i="41"/>
  <c r="R30" i="41" s="1"/>
  <c r="Q42" i="41"/>
  <c r="R42" i="41" s="1"/>
  <c r="Q22" i="42"/>
  <c r="R22" i="42" s="1"/>
  <c r="Q20" i="43"/>
  <c r="R20" i="43" s="1"/>
  <c r="Q7" i="46"/>
  <c r="R7" i="46" s="1"/>
  <c r="Q22" i="46"/>
  <c r="R22" i="46" s="1"/>
  <c r="Q5" i="43"/>
  <c r="R5" i="43" s="1"/>
  <c r="Q3" i="45"/>
  <c r="R3" i="45" s="1"/>
  <c r="Q18" i="47"/>
  <c r="R18" i="47" s="1"/>
  <c r="Q14" i="48"/>
  <c r="R14" i="48" s="1"/>
  <c r="Q15" i="48"/>
  <c r="R15" i="48" s="1"/>
  <c r="Q17" i="47"/>
  <c r="R17" i="47" s="1"/>
  <c r="Q21" i="46"/>
  <c r="R21" i="46" s="1"/>
  <c r="Q3" i="46"/>
  <c r="R3" i="46" s="1"/>
  <c r="Q17" i="45"/>
  <c r="R17" i="45" s="1"/>
  <c r="Q2" i="44"/>
  <c r="R2" i="44" s="1"/>
  <c r="Q19" i="44"/>
  <c r="R19" i="44" s="1"/>
  <c r="Q25" i="44"/>
  <c r="R25" i="44" s="1"/>
  <c r="Q4" i="44"/>
  <c r="R4" i="44" s="1"/>
  <c r="Q26" i="43"/>
  <c r="R26" i="43" s="1"/>
  <c r="Q24" i="43"/>
  <c r="R24" i="43" s="1"/>
  <c r="Q9" i="43"/>
  <c r="R9" i="43" s="1"/>
  <c r="Q35" i="43"/>
  <c r="R35" i="43" s="1"/>
  <c r="Q6" i="42"/>
  <c r="R6" i="42" s="1"/>
  <c r="Q40" i="42"/>
  <c r="R40" i="42" s="1"/>
  <c r="Q9" i="42"/>
  <c r="R9" i="42" s="1"/>
  <c r="Q2" i="42"/>
  <c r="R2" i="42" s="1"/>
  <c r="Q16" i="42"/>
  <c r="R16" i="42" s="1"/>
  <c r="Q27" i="41"/>
  <c r="R27" i="41" s="1"/>
  <c r="Q31" i="41"/>
  <c r="R31" i="41" s="1"/>
  <c r="Q34" i="40"/>
  <c r="R34" i="40" s="1"/>
  <c r="Q36" i="28"/>
  <c r="R36" i="28" s="1"/>
  <c r="Q40" i="28"/>
  <c r="R40" i="28" s="1"/>
  <c r="Q19" i="28"/>
  <c r="R19" i="28" s="1"/>
  <c r="Q23" i="40"/>
  <c r="R23" i="40" s="1"/>
  <c r="Q13" i="45"/>
  <c r="R13" i="45" s="1"/>
  <c r="Q12" i="45"/>
  <c r="R12" i="45" s="1"/>
  <c r="Q22" i="44"/>
  <c r="R22" i="44" s="1"/>
  <c r="Q4" i="42"/>
  <c r="R4" i="42" s="1"/>
  <c r="Q6" i="48"/>
  <c r="R6" i="48" s="1"/>
  <c r="Q5" i="48"/>
  <c r="R5" i="48" s="1"/>
  <c r="Q12" i="46"/>
  <c r="R12" i="46" s="1"/>
  <c r="Q15" i="44"/>
  <c r="R15" i="44" s="1"/>
  <c r="Q8" i="43"/>
  <c r="R8" i="43" s="1"/>
  <c r="Q13" i="43"/>
  <c r="R13" i="43" s="1"/>
  <c r="Q10" i="43"/>
  <c r="R10" i="43" s="1"/>
  <c r="Q38" i="43"/>
  <c r="R38" i="43" s="1"/>
  <c r="Q22" i="43"/>
  <c r="R22" i="43" s="1"/>
  <c r="Q23" i="42"/>
  <c r="R23" i="42" s="1"/>
  <c r="Q3" i="42"/>
  <c r="R3" i="42" s="1"/>
  <c r="Q18" i="40"/>
  <c r="R18" i="40" s="1"/>
  <c r="Q15" i="42"/>
  <c r="R15" i="42" s="1"/>
  <c r="Q8" i="41"/>
  <c r="R8" i="41" s="1"/>
  <c r="Q11" i="48"/>
  <c r="R11" i="48" s="1"/>
  <c r="Q17" i="43"/>
  <c r="R17" i="43" s="1"/>
  <c r="Q26" i="42"/>
  <c r="R26" i="42" s="1"/>
  <c r="Q33" i="41"/>
  <c r="R33" i="41" s="1"/>
  <c r="Q19" i="40"/>
  <c r="R19" i="40" s="1"/>
  <c r="Q10" i="47"/>
  <c r="R10" i="47" s="1"/>
  <c r="Q8" i="40"/>
  <c r="R8" i="40" s="1"/>
  <c r="Q6" i="40"/>
  <c r="R6" i="40" s="1"/>
  <c r="Q40" i="41"/>
  <c r="R40" i="41" s="1"/>
  <c r="Q9" i="47"/>
  <c r="R9" i="47" s="1"/>
  <c r="Q4" i="43"/>
  <c r="R4" i="43" s="1"/>
  <c r="Q31" i="42"/>
  <c r="R31" i="42" s="1"/>
  <c r="Q5" i="42"/>
  <c r="R5" i="42" s="1"/>
  <c r="Q35" i="42"/>
  <c r="R35" i="42" s="1"/>
  <c r="Q10" i="41"/>
  <c r="R10" i="41" s="1"/>
  <c r="Q20" i="41"/>
  <c r="R20" i="41" s="1"/>
  <c r="Q21" i="40"/>
  <c r="R21" i="40" s="1"/>
  <c r="Q26" i="40"/>
  <c r="R26" i="40" s="1"/>
  <c r="Q15" i="40"/>
  <c r="R15" i="40" s="1"/>
  <c r="Q19" i="42"/>
  <c r="R19" i="42" s="1"/>
  <c r="Q26" i="41"/>
  <c r="R26" i="41" s="1"/>
  <c r="Q12" i="40"/>
  <c r="R12" i="40" s="1"/>
  <c r="Q33" i="40"/>
  <c r="R33" i="40" s="1"/>
  <c r="Q17" i="44"/>
  <c r="R17" i="44" s="1"/>
  <c r="Q8" i="47"/>
  <c r="R8" i="47" s="1"/>
  <c r="Q36" i="40"/>
  <c r="R36" i="40" s="1"/>
  <c r="Q5" i="45"/>
  <c r="R5" i="45" s="1"/>
  <c r="Q15" i="47"/>
  <c r="R15" i="47" s="1"/>
  <c r="Q9" i="41"/>
  <c r="R9" i="41" s="1"/>
  <c r="Q6" i="46"/>
  <c r="R6" i="46" s="1"/>
  <c r="Q22" i="41"/>
  <c r="R22" i="41" s="1"/>
  <c r="Q36" i="43"/>
  <c r="R36" i="43" s="1"/>
  <c r="Q18" i="46"/>
  <c r="R18" i="46" s="1"/>
  <c r="Q7" i="47"/>
  <c r="R7" i="47" s="1"/>
  <c r="Q5" i="47"/>
  <c r="R5" i="47" s="1"/>
  <c r="Q20" i="46"/>
  <c r="R20" i="46" s="1"/>
  <c r="Q11" i="46"/>
  <c r="R11" i="46" s="1"/>
  <c r="Q20" i="44"/>
  <c r="R20" i="44" s="1"/>
  <c r="Q14" i="44"/>
  <c r="R14" i="44" s="1"/>
  <c r="Q27" i="43"/>
  <c r="R27" i="43" s="1"/>
  <c r="Q15" i="43"/>
  <c r="R15" i="43" s="1"/>
  <c r="Q21" i="43"/>
  <c r="R21" i="43" s="1"/>
  <c r="Q25" i="43"/>
  <c r="R25" i="43" s="1"/>
  <c r="Q33" i="42"/>
  <c r="R33" i="42" s="1"/>
  <c r="Q8" i="42"/>
  <c r="R8" i="42" s="1"/>
  <c r="Q21" i="42"/>
  <c r="R21" i="42" s="1"/>
  <c r="Q38" i="42"/>
  <c r="R38" i="42" s="1"/>
  <c r="Q21" i="41"/>
  <c r="R21" i="41" s="1"/>
  <c r="Q37" i="41"/>
  <c r="R37" i="41" s="1"/>
  <c r="Q27" i="40"/>
  <c r="R27" i="40" s="1"/>
  <c r="Q31" i="40"/>
  <c r="R31" i="40" s="1"/>
  <c r="Q5" i="40"/>
  <c r="R5" i="40" s="1"/>
  <c r="Q34" i="41"/>
  <c r="R34" i="41" s="1"/>
  <c r="Q4" i="41"/>
  <c r="R4" i="41" s="1"/>
  <c r="Q16" i="46"/>
  <c r="R16" i="46" s="1"/>
  <c r="Q32" i="42"/>
  <c r="R32" i="42" s="1"/>
  <c r="Q34" i="43"/>
  <c r="R34" i="43" s="1"/>
  <c r="Q40" i="43"/>
  <c r="R40" i="43" s="1"/>
  <c r="Q29" i="42"/>
  <c r="R29" i="42" s="1"/>
  <c r="Q7" i="42"/>
  <c r="R7" i="42" s="1"/>
  <c r="Q2" i="40"/>
  <c r="R2" i="40" s="1"/>
  <c r="Q6" i="38"/>
  <c r="R6" i="38" s="1"/>
  <c r="Q8" i="38"/>
  <c r="R8" i="38" s="1"/>
  <c r="Q9" i="38"/>
  <c r="R9" i="38" s="1"/>
  <c r="Q10" i="38"/>
  <c r="R10" i="38" s="1"/>
  <c r="Q5" i="39"/>
  <c r="R5" i="39" s="1"/>
  <c r="Q2" i="39"/>
  <c r="R2" i="39" s="1"/>
  <c r="Q12" i="38"/>
  <c r="R12" i="38" s="1"/>
  <c r="Q3" i="39"/>
  <c r="R3" i="39" s="1"/>
  <c r="Q19" i="36"/>
  <c r="R19" i="36" s="1"/>
  <c r="Q14" i="38"/>
  <c r="R14" i="38" s="1"/>
  <c r="Q4" i="39"/>
  <c r="R4" i="39" s="1"/>
  <c r="Q5" i="38"/>
  <c r="R5" i="38" s="1"/>
  <c r="Q13" i="38"/>
  <c r="R13" i="38" s="1"/>
  <c r="Q4" i="38"/>
  <c r="R4" i="38" s="1"/>
  <c r="Q2" i="38"/>
  <c r="R2" i="38" s="1"/>
  <c r="Q11" i="38"/>
  <c r="R11" i="38" s="1"/>
  <c r="Q7" i="38"/>
  <c r="R7" i="38" s="1"/>
  <c r="Q15" i="36"/>
  <c r="Q4" i="37"/>
  <c r="R4" i="37" s="1"/>
  <c r="Q13" i="37"/>
  <c r="R13" i="37" s="1"/>
  <c r="Q13" i="36"/>
  <c r="R13" i="36" s="1"/>
  <c r="Q12" i="37"/>
  <c r="R12" i="37" s="1"/>
  <c r="Q10" i="37"/>
  <c r="R10" i="37" s="1"/>
  <c r="Q17" i="36"/>
  <c r="R17" i="36" s="1"/>
  <c r="Q43" i="28"/>
  <c r="R43" i="28" s="1"/>
  <c r="Q3" i="37"/>
  <c r="R3" i="37" s="1"/>
  <c r="Q9" i="37"/>
  <c r="R9" i="37" s="1"/>
  <c r="Q3" i="36"/>
  <c r="Q8" i="36"/>
  <c r="Q12" i="36"/>
  <c r="R12" i="36" s="1"/>
  <c r="Q7" i="36"/>
  <c r="R7" i="36" s="1"/>
  <c r="Q16" i="36"/>
  <c r="R16" i="36" s="1"/>
  <c r="N44" i="28"/>
  <c r="Q32" i="28"/>
  <c r="N32" i="28"/>
  <c r="R32" i="28" s="1"/>
  <c r="Q18" i="28"/>
  <c r="N18" i="28"/>
  <c r="N5" i="28"/>
  <c r="Q5" i="28"/>
  <c r="Q11" i="36"/>
  <c r="R11" i="36" s="1"/>
  <c r="Q18" i="36"/>
  <c r="R18" i="36" s="1"/>
  <c r="Q11" i="37"/>
  <c r="R11" i="37" s="1"/>
  <c r="Q14" i="37"/>
  <c r="R14" i="37" s="1"/>
  <c r="Q20" i="37"/>
  <c r="R20" i="37" s="1"/>
  <c r="Q10" i="36"/>
  <c r="R10" i="36" s="1"/>
  <c r="Q19" i="37"/>
  <c r="R19" i="37" s="1"/>
  <c r="Q16" i="37"/>
  <c r="R16" i="37" s="1"/>
  <c r="Q9" i="36"/>
  <c r="R9" i="36" s="1"/>
  <c r="Q20" i="36"/>
  <c r="R20" i="36" s="1"/>
  <c r="Q41" i="28"/>
  <c r="R41" i="28" s="1"/>
  <c r="Q34" i="28"/>
  <c r="R34" i="28" s="1"/>
  <c r="Q28" i="28"/>
  <c r="R28" i="28" s="1"/>
  <c r="Q22" i="28"/>
  <c r="Q14" i="28"/>
  <c r="R14" i="28" s="1"/>
  <c r="Q9" i="28"/>
  <c r="Q35" i="28"/>
  <c r="Q30" i="28"/>
  <c r="R30" i="28" s="1"/>
  <c r="Q16" i="28"/>
  <c r="R16" i="28" s="1"/>
  <c r="Q10" i="28"/>
  <c r="R10" i="28" s="1"/>
  <c r="R7" i="28"/>
  <c r="R35" i="28"/>
  <c r="R22" i="28"/>
  <c r="R9" i="28"/>
  <c r="R39" i="28"/>
  <c r="R33" i="28"/>
  <c r="R13" i="28"/>
  <c r="R23" i="28"/>
  <c r="R37" i="28"/>
  <c r="R7" i="37"/>
  <c r="R8" i="36"/>
  <c r="R3" i="36"/>
  <c r="R15" i="36"/>
  <c r="S39" i="28"/>
  <c r="S41" i="28"/>
  <c r="S37" i="28"/>
  <c r="S28" i="28"/>
  <c r="S9" i="28"/>
  <c r="W14" i="33"/>
  <c r="V14" i="33"/>
  <c r="P14" i="33"/>
  <c r="L14" i="33"/>
  <c r="W13" i="33"/>
  <c r="V13" i="33"/>
  <c r="P13" i="33"/>
  <c r="L13" i="33"/>
  <c r="W12" i="33"/>
  <c r="V12" i="33"/>
  <c r="P12" i="33"/>
  <c r="L12" i="33"/>
  <c r="W11" i="33"/>
  <c r="V11" i="33"/>
  <c r="P11" i="33"/>
  <c r="L11" i="33"/>
  <c r="W10" i="33"/>
  <c r="V10" i="33"/>
  <c r="P10" i="33"/>
  <c r="L10" i="33"/>
  <c r="W9" i="33"/>
  <c r="V9" i="33"/>
  <c r="P9" i="33"/>
  <c r="L9" i="33"/>
  <c r="W8" i="33"/>
  <c r="V8" i="33"/>
  <c r="P8" i="33"/>
  <c r="L8" i="33"/>
  <c r="W7" i="33"/>
  <c r="V7" i="33"/>
  <c r="P7" i="33"/>
  <c r="L7" i="33"/>
  <c r="W6" i="33"/>
  <c r="V6" i="33"/>
  <c r="P6" i="33"/>
  <c r="L6" i="33"/>
  <c r="W5" i="33"/>
  <c r="V5" i="33"/>
  <c r="P5" i="33"/>
  <c r="L5" i="33"/>
  <c r="W3" i="33"/>
  <c r="V3" i="33"/>
  <c r="P3" i="33"/>
  <c r="L3" i="33"/>
  <c r="W2" i="33"/>
  <c r="V2" i="33"/>
  <c r="P2" i="33"/>
  <c r="L2" i="33"/>
  <c r="W15" i="32"/>
  <c r="V15" i="32"/>
  <c r="P15" i="32"/>
  <c r="L15" i="32"/>
  <c r="W14" i="32"/>
  <c r="V14" i="32"/>
  <c r="P14" i="32"/>
  <c r="L14" i="32"/>
  <c r="W13" i="32"/>
  <c r="V13" i="32"/>
  <c r="P13" i="32"/>
  <c r="L13" i="32"/>
  <c r="W12" i="32"/>
  <c r="V12" i="32"/>
  <c r="P12" i="32"/>
  <c r="L12" i="32"/>
  <c r="W11" i="32"/>
  <c r="V11" i="32"/>
  <c r="P11" i="32"/>
  <c r="L11" i="32"/>
  <c r="W10" i="32"/>
  <c r="V10" i="32"/>
  <c r="P10" i="32"/>
  <c r="L10" i="32"/>
  <c r="W9" i="32"/>
  <c r="V9" i="32"/>
  <c r="P9" i="32"/>
  <c r="L9" i="32"/>
  <c r="W8" i="32"/>
  <c r="V8" i="32"/>
  <c r="P8" i="32"/>
  <c r="L8" i="32"/>
  <c r="W7" i="32"/>
  <c r="V7" i="32"/>
  <c r="P7" i="32"/>
  <c r="L7" i="32"/>
  <c r="W6" i="32"/>
  <c r="V6" i="32"/>
  <c r="P6" i="32"/>
  <c r="L6" i="32"/>
  <c r="W5" i="32"/>
  <c r="V5" i="32"/>
  <c r="P5" i="32"/>
  <c r="L5" i="32"/>
  <c r="W4" i="32"/>
  <c r="V4" i="32"/>
  <c r="P4" i="32"/>
  <c r="L4" i="32"/>
  <c r="W3" i="32"/>
  <c r="V3" i="32"/>
  <c r="P3" i="32"/>
  <c r="L3" i="32"/>
  <c r="W2" i="32"/>
  <c r="V2" i="32"/>
  <c r="P2" i="32"/>
  <c r="L2" i="32"/>
  <c r="I16" i="31"/>
  <c r="I15" i="31"/>
  <c r="I14" i="31"/>
  <c r="R5" i="28" l="1"/>
  <c r="R18" i="28"/>
  <c r="R44" i="28"/>
  <c r="S2" i="32"/>
  <c r="T2" i="32" s="1"/>
  <c r="N2" i="32"/>
  <c r="M2" i="32" s="1"/>
  <c r="Q2" i="32"/>
  <c r="Q3" i="32"/>
  <c r="N3" i="32"/>
  <c r="M3" i="32" s="1"/>
  <c r="N4" i="32"/>
  <c r="M4" i="32" s="1"/>
  <c r="Q4" i="32"/>
  <c r="S5" i="32"/>
  <c r="T5" i="32" s="1"/>
  <c r="N5" i="32"/>
  <c r="M5" i="32" s="1"/>
  <c r="Q5" i="32"/>
  <c r="Q6" i="32"/>
  <c r="N6" i="32"/>
  <c r="M6" i="32" s="1"/>
  <c r="S7" i="32"/>
  <c r="T7" i="32" s="1"/>
  <c r="Q7" i="32"/>
  <c r="N7" i="32"/>
  <c r="N8" i="32"/>
  <c r="M8" i="32" s="1"/>
  <c r="Q8" i="32"/>
  <c r="S9" i="32"/>
  <c r="T9" i="32" s="1"/>
  <c r="Q9" i="32"/>
  <c r="N9" i="32"/>
  <c r="M9" i="32" s="1"/>
  <c r="S10" i="32"/>
  <c r="T10" i="32" s="1"/>
  <c r="N10" i="32"/>
  <c r="Q10" i="32"/>
  <c r="S11" i="32"/>
  <c r="T11" i="32" s="1"/>
  <c r="Q11" i="32"/>
  <c r="N11" i="32"/>
  <c r="M11" i="32" s="1"/>
  <c r="Q12" i="32"/>
  <c r="N12" i="32"/>
  <c r="M12" i="32" s="1"/>
  <c r="N13" i="32"/>
  <c r="M13" i="32" s="1"/>
  <c r="Q13" i="32"/>
  <c r="S14" i="32"/>
  <c r="T14" i="32" s="1"/>
  <c r="Q14" i="32"/>
  <c r="N14" i="32"/>
  <c r="M14" i="32" s="1"/>
  <c r="S15" i="32"/>
  <c r="T15" i="32" s="1"/>
  <c r="Q15" i="32"/>
  <c r="N15" i="32"/>
  <c r="Q2" i="33"/>
  <c r="N2" i="33"/>
  <c r="M2" i="33" s="1"/>
  <c r="S3" i="33"/>
  <c r="T3" i="33" s="1"/>
  <c r="Q3" i="33"/>
  <c r="N3" i="33"/>
  <c r="M3" i="33" s="1"/>
  <c r="Q5" i="33"/>
  <c r="N5" i="33"/>
  <c r="M5" i="33" s="1"/>
  <c r="Q6" i="33"/>
  <c r="N6" i="33"/>
  <c r="M6" i="33" s="1"/>
  <c r="S7" i="33"/>
  <c r="T7" i="33" s="1"/>
  <c r="Q7" i="33"/>
  <c r="N7" i="33"/>
  <c r="Q8" i="33"/>
  <c r="N8" i="33"/>
  <c r="M8" i="33" s="1"/>
  <c r="S9" i="33"/>
  <c r="T9" i="33" s="1"/>
  <c r="Q9" i="33"/>
  <c r="N9" i="33"/>
  <c r="M9" i="33" s="1"/>
  <c r="S10" i="33"/>
  <c r="T10" i="33" s="1"/>
  <c r="Q10" i="33"/>
  <c r="N10" i="33"/>
  <c r="S11" i="33"/>
  <c r="T11" i="33" s="1"/>
  <c r="Q11" i="33"/>
  <c r="N11" i="33"/>
  <c r="S12" i="33"/>
  <c r="T12" i="33" s="1"/>
  <c r="Q12" i="33"/>
  <c r="N12" i="33"/>
  <c r="M12" i="33" s="1"/>
  <c r="S13" i="33"/>
  <c r="T13" i="33" s="1"/>
  <c r="Q13" i="33"/>
  <c r="N13" i="33"/>
  <c r="S14" i="33"/>
  <c r="T14" i="33" s="1"/>
  <c r="Q14" i="33"/>
  <c r="N14" i="33"/>
  <c r="S6" i="33"/>
  <c r="T6" i="33" s="1"/>
  <c r="S5" i="33"/>
  <c r="T5" i="33" s="1"/>
  <c r="S8" i="33"/>
  <c r="T8" i="33" s="1"/>
  <c r="S2" i="33"/>
  <c r="T2" i="33" s="1"/>
  <c r="S3" i="32"/>
  <c r="T3" i="32" s="1"/>
  <c r="S6" i="32"/>
  <c r="T6" i="32" s="1"/>
  <c r="S13" i="32"/>
  <c r="T13" i="32" s="1"/>
  <c r="S12" i="32"/>
  <c r="T12" i="32" s="1"/>
  <c r="S8" i="32"/>
  <c r="T8" i="32" s="1"/>
  <c r="S4" i="32"/>
  <c r="T4" i="32" s="1"/>
  <c r="I6" i="31"/>
  <c r="F6" i="31"/>
  <c r="I5" i="31"/>
  <c r="F5" i="31"/>
  <c r="I4" i="31"/>
  <c r="I3" i="31"/>
  <c r="I2" i="31"/>
  <c r="L18" i="31"/>
  <c r="P18" i="31"/>
  <c r="V18" i="31"/>
  <c r="W18" i="31"/>
  <c r="L19" i="31"/>
  <c r="P19" i="31"/>
  <c r="S19" i="31" s="1"/>
  <c r="T19" i="31" s="1"/>
  <c r="V19" i="31"/>
  <c r="W19" i="31"/>
  <c r="L20" i="31"/>
  <c r="P20" i="31"/>
  <c r="V20" i="31"/>
  <c r="W20" i="31"/>
  <c r="L21" i="31"/>
  <c r="P21" i="31"/>
  <c r="V21" i="31"/>
  <c r="W21" i="31"/>
  <c r="L22" i="31"/>
  <c r="P22" i="31"/>
  <c r="V22" i="31"/>
  <c r="W22" i="31"/>
  <c r="W17" i="31"/>
  <c r="V17" i="31"/>
  <c r="L17" i="31"/>
  <c r="P17" i="31"/>
  <c r="W16" i="31"/>
  <c r="V16" i="31"/>
  <c r="P16" i="31"/>
  <c r="L16" i="31"/>
  <c r="W15" i="31"/>
  <c r="V15" i="31"/>
  <c r="P15" i="31"/>
  <c r="L15" i="31"/>
  <c r="W14" i="31"/>
  <c r="V14" i="31"/>
  <c r="P14" i="31"/>
  <c r="L14" i="31"/>
  <c r="W13" i="31"/>
  <c r="V13" i="31"/>
  <c r="P13" i="31"/>
  <c r="L13" i="31"/>
  <c r="W12" i="31"/>
  <c r="V12" i="31"/>
  <c r="P12" i="31"/>
  <c r="L12" i="31"/>
  <c r="W11" i="31"/>
  <c r="V11" i="31"/>
  <c r="P11" i="31"/>
  <c r="L11" i="31"/>
  <c r="W9" i="31"/>
  <c r="V9" i="31"/>
  <c r="P9" i="31"/>
  <c r="L9" i="31"/>
  <c r="W8" i="31"/>
  <c r="V8" i="31"/>
  <c r="P8" i="31"/>
  <c r="L8" i="31"/>
  <c r="W7" i="31"/>
  <c r="V7" i="31"/>
  <c r="P7" i="31"/>
  <c r="L7" i="31"/>
  <c r="W6" i="31"/>
  <c r="V6" i="31"/>
  <c r="P6" i="31"/>
  <c r="L6" i="31"/>
  <c r="W5" i="31"/>
  <c r="V5" i="31"/>
  <c r="P5" i="31"/>
  <c r="L5" i="31"/>
  <c r="W4" i="31"/>
  <c r="V4" i="31"/>
  <c r="P4" i="31"/>
  <c r="L4" i="31"/>
  <c r="W3" i="31"/>
  <c r="V3" i="31"/>
  <c r="P3" i="31"/>
  <c r="L3" i="31"/>
  <c r="W2" i="31"/>
  <c r="V2" i="31"/>
  <c r="P2" i="31"/>
  <c r="L2" i="31"/>
  <c r="I10" i="29"/>
  <c r="S10" i="29" s="1"/>
  <c r="T10" i="29" s="1"/>
  <c r="I44" i="29"/>
  <c r="S44" i="29" s="1"/>
  <c r="T44" i="29" s="1"/>
  <c r="I43" i="29"/>
  <c r="S43" i="29" s="1"/>
  <c r="T43" i="29" s="1"/>
  <c r="S35" i="29"/>
  <c r="T35" i="29" s="1"/>
  <c r="S34" i="29"/>
  <c r="T34" i="29" s="1"/>
  <c r="I30" i="29"/>
  <c r="S30" i="29" s="1"/>
  <c r="T30" i="29" s="1"/>
  <c r="I24" i="29"/>
  <c r="H24" i="29"/>
  <c r="P24" i="29" s="1"/>
  <c r="I23" i="29"/>
  <c r="S23" i="29" s="1"/>
  <c r="T23" i="29" s="1"/>
  <c r="I22" i="29"/>
  <c r="S22" i="29" s="1"/>
  <c r="T22" i="29" s="1"/>
  <c r="I20" i="29"/>
  <c r="H20" i="29"/>
  <c r="P20" i="29" s="1"/>
  <c r="I18" i="29"/>
  <c r="S18" i="29" s="1"/>
  <c r="T18" i="29" s="1"/>
  <c r="I16" i="29"/>
  <c r="S16" i="29" s="1"/>
  <c r="T16" i="29" s="1"/>
  <c r="I14" i="29"/>
  <c r="S14" i="29" s="1"/>
  <c r="T14" i="29" s="1"/>
  <c r="I7" i="29"/>
  <c r="S7" i="29" s="1"/>
  <c r="T7" i="29" s="1"/>
  <c r="I5" i="29"/>
  <c r="S5" i="29" s="1"/>
  <c r="T5" i="29" s="1"/>
  <c r="I3" i="29"/>
  <c r="S3" i="29" s="1"/>
  <c r="T3" i="29" s="1"/>
  <c r="W2" i="29"/>
  <c r="V2" i="29"/>
  <c r="P2" i="29"/>
  <c r="S2" i="29" s="1"/>
  <c r="T2" i="29" s="1"/>
  <c r="L2" i="29"/>
  <c r="R13" i="33" l="1"/>
  <c r="R6" i="33"/>
  <c r="R9" i="33"/>
  <c r="R11" i="33"/>
  <c r="R2" i="33"/>
  <c r="R15" i="32"/>
  <c r="R9" i="32"/>
  <c r="R8" i="32"/>
  <c r="R4" i="32"/>
  <c r="R6" i="32"/>
  <c r="R2" i="32"/>
  <c r="N20" i="29"/>
  <c r="M20" i="29" s="1"/>
  <c r="Q20" i="29"/>
  <c r="N24" i="29"/>
  <c r="M24" i="29" s="1"/>
  <c r="Q24" i="29"/>
  <c r="S20" i="29"/>
  <c r="T20" i="29" s="1"/>
  <c r="S24" i="29"/>
  <c r="T24" i="29" s="1"/>
  <c r="Q2" i="29"/>
  <c r="N2" i="29"/>
  <c r="M2" i="29" s="1"/>
  <c r="R12" i="33"/>
  <c r="R8" i="33"/>
  <c r="R5" i="33"/>
  <c r="R3" i="33"/>
  <c r="R14" i="32"/>
  <c r="R12" i="32"/>
  <c r="R10" i="32"/>
  <c r="R7" i="32"/>
  <c r="R5" i="32"/>
  <c r="R14" i="33"/>
  <c r="R10" i="33"/>
  <c r="R7" i="33"/>
  <c r="R13" i="32"/>
  <c r="R11" i="32"/>
  <c r="R3" i="32"/>
  <c r="N17" i="31"/>
  <c r="M17" i="31" s="1"/>
  <c r="Q17" i="31"/>
  <c r="Q19" i="31"/>
  <c r="N19" i="31"/>
  <c r="M19" i="31" s="1"/>
  <c r="N4" i="31"/>
  <c r="M4" i="31" s="1"/>
  <c r="Q4" i="31"/>
  <c r="S7" i="31"/>
  <c r="T7" i="31" s="1"/>
  <c r="Q7" i="31"/>
  <c r="N7" i="31"/>
  <c r="S11" i="31"/>
  <c r="T11" i="31" s="1"/>
  <c r="N11" i="31"/>
  <c r="M11" i="31" s="1"/>
  <c r="Q11" i="31"/>
  <c r="Q14" i="31"/>
  <c r="N14" i="31"/>
  <c r="M14" i="31" s="1"/>
  <c r="N22" i="31"/>
  <c r="Q22" i="31"/>
  <c r="S21" i="31"/>
  <c r="T21" i="31" s="1"/>
  <c r="Q21" i="31"/>
  <c r="N21" i="31"/>
  <c r="M21" i="31" s="1"/>
  <c r="Q18" i="31"/>
  <c r="N18" i="31"/>
  <c r="M18" i="31" s="1"/>
  <c r="N2" i="31"/>
  <c r="Q2" i="31"/>
  <c r="S5" i="31"/>
  <c r="T5" i="31" s="1"/>
  <c r="N5" i="31"/>
  <c r="Q5" i="31"/>
  <c r="S8" i="31"/>
  <c r="T8" i="31" s="1"/>
  <c r="Q8" i="31"/>
  <c r="N8" i="31"/>
  <c r="N12" i="31"/>
  <c r="M12" i="31" s="1"/>
  <c r="Q12" i="31"/>
  <c r="N15" i="31"/>
  <c r="Q15" i="31"/>
  <c r="Q20" i="31"/>
  <c r="N20" i="31"/>
  <c r="M20" i="31" s="1"/>
  <c r="N3" i="31"/>
  <c r="M3" i="31" s="1"/>
  <c r="Q3" i="31"/>
  <c r="Q6" i="31"/>
  <c r="N6" i="31"/>
  <c r="M6" i="31" s="1"/>
  <c r="S9" i="31"/>
  <c r="T9" i="31" s="1"/>
  <c r="Q9" i="31"/>
  <c r="N9" i="31"/>
  <c r="S13" i="31"/>
  <c r="T13" i="31" s="1"/>
  <c r="N13" i="31"/>
  <c r="Q13" i="31"/>
  <c r="N16" i="31"/>
  <c r="M16" i="31" s="1"/>
  <c r="Q16" i="31"/>
  <c r="M10" i="33"/>
  <c r="M11" i="33"/>
  <c r="M13" i="33"/>
  <c r="M7" i="33"/>
  <c r="M14" i="33"/>
  <c r="M15" i="32"/>
  <c r="M10" i="32"/>
  <c r="M7" i="32"/>
  <c r="S3" i="31"/>
  <c r="T3" i="31" s="1"/>
  <c r="S4" i="31"/>
  <c r="T4" i="31" s="1"/>
  <c r="S16" i="31"/>
  <c r="T16" i="31" s="1"/>
  <c r="S18" i="31"/>
  <c r="T18" i="31" s="1"/>
  <c r="S22" i="31"/>
  <c r="T22" i="31" s="1"/>
  <c r="S2" i="31"/>
  <c r="T2" i="31" s="1"/>
  <c r="M22" i="31"/>
  <c r="S20" i="31"/>
  <c r="T20" i="31" s="1"/>
  <c r="S15" i="31"/>
  <c r="T15" i="31" s="1"/>
  <c r="S12" i="31"/>
  <c r="T12" i="31" s="1"/>
  <c r="S17" i="31"/>
  <c r="T17" i="31" s="1"/>
  <c r="M15" i="31"/>
  <c r="S6" i="31"/>
  <c r="T6" i="31" s="1"/>
  <c r="S14" i="31"/>
  <c r="T14" i="31" s="1"/>
  <c r="I44" i="28"/>
  <c r="S44" i="28" s="1"/>
  <c r="I43" i="28"/>
  <c r="S43" i="28" s="1"/>
  <c r="I35" i="28"/>
  <c r="S35" i="28" s="1"/>
  <c r="I34" i="28"/>
  <c r="S34" i="28" s="1"/>
  <c r="I33" i="28"/>
  <c r="S33" i="28" s="1"/>
  <c r="I32" i="28"/>
  <c r="S32" i="28" s="1"/>
  <c r="I30" i="28"/>
  <c r="S30" i="28" s="1"/>
  <c r="R22" i="31" l="1"/>
  <c r="R11" i="31"/>
  <c r="R5" i="31"/>
  <c r="R4" i="31"/>
  <c r="R17" i="31"/>
  <c r="R15" i="31"/>
  <c r="R20" i="29"/>
  <c r="R24" i="29"/>
  <c r="R16" i="31"/>
  <c r="R12" i="31"/>
  <c r="R2" i="31"/>
  <c r="R9" i="31"/>
  <c r="R8" i="31"/>
  <c r="R2" i="29"/>
  <c r="R18" i="31"/>
  <c r="R7" i="31"/>
  <c r="R6" i="31"/>
  <c r="R21" i="31"/>
  <c r="R3" i="31"/>
  <c r="R19" i="31"/>
  <c r="R20" i="31"/>
  <c r="R13" i="31"/>
  <c r="R14" i="31"/>
  <c r="M7" i="31"/>
  <c r="M9" i="31"/>
  <c r="M8" i="31"/>
  <c r="M2" i="31"/>
  <c r="M13" i="31"/>
  <c r="M5" i="31"/>
  <c r="I24" i="28"/>
  <c r="H24" i="28"/>
  <c r="I23" i="28"/>
  <c r="S23" i="28" s="1"/>
  <c r="I22" i="28"/>
  <c r="I20" i="28"/>
  <c r="S20" i="28" s="1"/>
  <c r="H20" i="28"/>
  <c r="P20" i="28" s="1"/>
  <c r="I18" i="28"/>
  <c r="S18" i="28" s="1"/>
  <c r="I16" i="28"/>
  <c r="S16" i="28" s="1"/>
  <c r="I14" i="28"/>
  <c r="S14" i="28" s="1"/>
  <c r="I13" i="28"/>
  <c r="S13" i="28" s="1"/>
  <c r="I12" i="28"/>
  <c r="S12" i="28" s="1"/>
  <c r="I10" i="28"/>
  <c r="S10" i="28" s="1"/>
  <c r="W9" i="28"/>
  <c r="V9" i="28"/>
  <c r="L9" i="28"/>
  <c r="W36" i="26"/>
  <c r="V36" i="26"/>
  <c r="P36" i="26"/>
  <c r="L36" i="26"/>
  <c r="W36" i="23"/>
  <c r="V36" i="23"/>
  <c r="P36" i="23"/>
  <c r="L36" i="23"/>
  <c r="I7" i="28"/>
  <c r="S7" i="28" s="1"/>
  <c r="I5" i="28"/>
  <c r="S5" i="28" s="1"/>
  <c r="I3" i="28"/>
  <c r="S3" i="28" s="1"/>
  <c r="I2" i="28"/>
  <c r="W44" i="28"/>
  <c r="V44" i="28"/>
  <c r="L44" i="28"/>
  <c r="W43" i="28"/>
  <c r="V43" i="28"/>
  <c r="T43" i="28"/>
  <c r="L43" i="28"/>
  <c r="W41" i="28"/>
  <c r="V41" i="28"/>
  <c r="T41" i="28"/>
  <c r="L41" i="28"/>
  <c r="W39" i="28"/>
  <c r="V39" i="28"/>
  <c r="L39" i="28"/>
  <c r="W37" i="28"/>
  <c r="V37" i="28"/>
  <c r="T37" i="28"/>
  <c r="L37" i="28"/>
  <c r="W35" i="28"/>
  <c r="V35" i="28"/>
  <c r="T35" i="28"/>
  <c r="L35" i="28"/>
  <c r="W34" i="28"/>
  <c r="V34" i="28"/>
  <c r="L34" i="28"/>
  <c r="W33" i="28"/>
  <c r="V33" i="28"/>
  <c r="M33" i="28"/>
  <c r="L33" i="28"/>
  <c r="W32" i="28"/>
  <c r="V32" i="28"/>
  <c r="T32" i="28"/>
  <c r="L32" i="28"/>
  <c r="W30" i="28"/>
  <c r="V30" i="28"/>
  <c r="L30" i="28"/>
  <c r="W28" i="28"/>
  <c r="V28" i="28"/>
  <c r="T28" i="28"/>
  <c r="L28" i="28"/>
  <c r="W26" i="28"/>
  <c r="V26" i="28"/>
  <c r="L26" i="28"/>
  <c r="W24" i="28"/>
  <c r="V24" i="28"/>
  <c r="L24" i="28"/>
  <c r="W23" i="28"/>
  <c r="V23" i="28"/>
  <c r="L23" i="28"/>
  <c r="W22" i="28"/>
  <c r="V22" i="28"/>
  <c r="L22" i="28"/>
  <c r="W20" i="28"/>
  <c r="V20" i="28"/>
  <c r="T20" i="28"/>
  <c r="L20" i="28"/>
  <c r="W18" i="28"/>
  <c r="V18" i="28"/>
  <c r="L18" i="28"/>
  <c r="W16" i="28"/>
  <c r="V16" i="28"/>
  <c r="T16" i="28"/>
  <c r="L16" i="28"/>
  <c r="W14" i="28"/>
  <c r="V14" i="28"/>
  <c r="L14" i="28"/>
  <c r="W13" i="28"/>
  <c r="V13" i="28"/>
  <c r="L13" i="28"/>
  <c r="W12" i="28"/>
  <c r="V12" i="28"/>
  <c r="L12" i="28"/>
  <c r="W10" i="28"/>
  <c r="V10" i="28"/>
  <c r="M10" i="28"/>
  <c r="L10" i="28"/>
  <c r="W7" i="28"/>
  <c r="V7" i="28"/>
  <c r="L7" i="28"/>
  <c r="W5" i="28"/>
  <c r="V5" i="28"/>
  <c r="L5" i="28"/>
  <c r="W3" i="28"/>
  <c r="V3" i="28"/>
  <c r="L3" i="28"/>
  <c r="W2" i="28"/>
  <c r="V2" i="28"/>
  <c r="P2" i="28"/>
  <c r="L2" i="28"/>
  <c r="N36" i="23" l="1"/>
  <c r="Q36" i="23"/>
  <c r="S2" i="28"/>
  <c r="T2" i="28" s="1"/>
  <c r="Q2" i="28"/>
  <c r="R2" i="28" s="1"/>
  <c r="N2" i="28"/>
  <c r="M22" i="28"/>
  <c r="S22" i="28"/>
  <c r="Q36" i="26"/>
  <c r="R36" i="26" s="1"/>
  <c r="N36" i="26"/>
  <c r="M36" i="26" s="1"/>
  <c r="S36" i="26"/>
  <c r="T36" i="26" s="1"/>
  <c r="Q20" i="28"/>
  <c r="N20" i="28"/>
  <c r="M20" i="28" s="1"/>
  <c r="P24" i="28"/>
  <c r="M37" i="28"/>
  <c r="T39" i="28"/>
  <c r="T14" i="28"/>
  <c r="T13" i="28"/>
  <c r="T12" i="28"/>
  <c r="M12" i="28"/>
  <c r="T9" i="28"/>
  <c r="M9" i="28"/>
  <c r="S36" i="23"/>
  <c r="T36" i="23" s="1"/>
  <c r="M36" i="23"/>
  <c r="T5" i="28"/>
  <c r="M35" i="28"/>
  <c r="T34" i="28"/>
  <c r="M5" i="28"/>
  <c r="T22" i="28"/>
  <c r="T33" i="28"/>
  <c r="T10" i="28"/>
  <c r="M16" i="28"/>
  <c r="T18" i="28"/>
  <c r="M28" i="28"/>
  <c r="T30" i="28"/>
  <c r="M43" i="28"/>
  <c r="T44" i="28"/>
  <c r="T23" i="28"/>
  <c r="T7" i="28"/>
  <c r="M32" i="28"/>
  <c r="M7" i="28"/>
  <c r="M23" i="28"/>
  <c r="M13" i="28"/>
  <c r="M39" i="28"/>
  <c r="M3" i="28"/>
  <c r="M34" i="28"/>
  <c r="M18" i="28"/>
  <c r="T26" i="28"/>
  <c r="M30" i="28"/>
  <c r="M44" i="28"/>
  <c r="T3" i="28"/>
  <c r="M14" i="28"/>
  <c r="M41" i="28"/>
  <c r="W15" i="27"/>
  <c r="V15" i="27"/>
  <c r="L15" i="27"/>
  <c r="P15" i="27"/>
  <c r="W14" i="27"/>
  <c r="V14" i="27"/>
  <c r="P14" i="27"/>
  <c r="L14" i="27"/>
  <c r="W13" i="27"/>
  <c r="V13" i="27"/>
  <c r="P13" i="27"/>
  <c r="L13" i="27"/>
  <c r="W12" i="27"/>
  <c r="V12" i="27"/>
  <c r="P12" i="27"/>
  <c r="L12" i="27"/>
  <c r="W11" i="27"/>
  <c r="V11" i="27"/>
  <c r="P11" i="27"/>
  <c r="L11" i="27"/>
  <c r="W10" i="27"/>
  <c r="V10" i="27"/>
  <c r="P10" i="27"/>
  <c r="L10" i="27"/>
  <c r="W9" i="27"/>
  <c r="V9" i="27"/>
  <c r="P9" i="27"/>
  <c r="L9" i="27"/>
  <c r="W8" i="27"/>
  <c r="V8" i="27"/>
  <c r="P8" i="27"/>
  <c r="L8" i="27"/>
  <c r="W7" i="27"/>
  <c r="V7" i="27"/>
  <c r="P7" i="27"/>
  <c r="L7" i="27"/>
  <c r="W6" i="27"/>
  <c r="V6" i="27"/>
  <c r="P6" i="27"/>
  <c r="L6" i="27"/>
  <c r="W5" i="27"/>
  <c r="V5" i="27"/>
  <c r="P5" i="27"/>
  <c r="L5" i="27"/>
  <c r="W4" i="27"/>
  <c r="V4" i="27"/>
  <c r="P4" i="27"/>
  <c r="S4" i="27" s="1"/>
  <c r="T4" i="27" s="1"/>
  <c r="L4" i="27"/>
  <c r="W3" i="27"/>
  <c r="V3" i="27"/>
  <c r="P3" i="27"/>
  <c r="L3" i="27"/>
  <c r="W2" i="27"/>
  <c r="V2" i="27"/>
  <c r="P2" i="27"/>
  <c r="L2" i="27"/>
  <c r="R36" i="23" l="1"/>
  <c r="S24" i="28"/>
  <c r="T24" i="28" s="1"/>
  <c r="N24" i="28"/>
  <c r="M24" i="28" s="1"/>
  <c r="Q24" i="28"/>
  <c r="Q2" i="27"/>
  <c r="N2" i="27"/>
  <c r="M2" i="27" s="1"/>
  <c r="Q3" i="27"/>
  <c r="N3" i="27"/>
  <c r="M3" i="27" s="1"/>
  <c r="N15" i="27"/>
  <c r="Q15" i="27"/>
  <c r="Q4" i="27"/>
  <c r="N4" i="27"/>
  <c r="M4" i="27" s="1"/>
  <c r="Q5" i="27"/>
  <c r="N5" i="27"/>
  <c r="M5" i="27" s="1"/>
  <c r="S6" i="27"/>
  <c r="T6" i="27" s="1"/>
  <c r="N6" i="27"/>
  <c r="Q6" i="27"/>
  <c r="N7" i="27"/>
  <c r="M7" i="27" s="1"/>
  <c r="Q7" i="27"/>
  <c r="S8" i="27"/>
  <c r="T8" i="27" s="1"/>
  <c r="Q8" i="27"/>
  <c r="N8" i="27"/>
  <c r="Q9" i="27"/>
  <c r="N9" i="27"/>
  <c r="M9" i="27" s="1"/>
  <c r="S10" i="27"/>
  <c r="T10" i="27" s="1"/>
  <c r="N10" i="27"/>
  <c r="Q10" i="27"/>
  <c r="Q11" i="27"/>
  <c r="N11" i="27"/>
  <c r="M11" i="27" s="1"/>
  <c r="S12" i="27"/>
  <c r="T12" i="27" s="1"/>
  <c r="N12" i="27"/>
  <c r="Q12" i="27"/>
  <c r="S13" i="27"/>
  <c r="T13" i="27" s="1"/>
  <c r="Q13" i="27"/>
  <c r="N13" i="27"/>
  <c r="Q14" i="27"/>
  <c r="N14" i="27"/>
  <c r="M14" i="27" s="1"/>
  <c r="R20" i="28"/>
  <c r="M2" i="28"/>
  <c r="M26" i="28"/>
  <c r="S14" i="27"/>
  <c r="T14" i="27" s="1"/>
  <c r="S3" i="27"/>
  <c r="T3" i="27" s="1"/>
  <c r="S2" i="27"/>
  <c r="T2" i="27" s="1"/>
  <c r="S7" i="27"/>
  <c r="T7" i="27" s="1"/>
  <c r="S15" i="27"/>
  <c r="T15" i="27" s="1"/>
  <c r="S5" i="27"/>
  <c r="T5" i="27" s="1"/>
  <c r="S9" i="27"/>
  <c r="T9" i="27" s="1"/>
  <c r="S11" i="27"/>
  <c r="T11" i="27" s="1"/>
  <c r="I18" i="25"/>
  <c r="H18" i="25"/>
  <c r="P18" i="25" s="1"/>
  <c r="F18" i="25"/>
  <c r="L18" i="25"/>
  <c r="V18" i="25"/>
  <c r="W18" i="25"/>
  <c r="W35" i="26"/>
  <c r="V35" i="26"/>
  <c r="P35" i="26"/>
  <c r="L35" i="26"/>
  <c r="I35" i="26"/>
  <c r="W34" i="26"/>
  <c r="V34" i="26"/>
  <c r="P34" i="26"/>
  <c r="L34" i="26"/>
  <c r="I34" i="26"/>
  <c r="S34" i="26" s="1"/>
  <c r="T34" i="26" s="1"/>
  <c r="W33" i="26"/>
  <c r="V33" i="26"/>
  <c r="P33" i="26"/>
  <c r="L33" i="26"/>
  <c r="I33" i="26"/>
  <c r="S33" i="26" s="1"/>
  <c r="T33" i="26" s="1"/>
  <c r="W32" i="26"/>
  <c r="V32" i="26"/>
  <c r="P32" i="26"/>
  <c r="L32" i="26"/>
  <c r="W31" i="26"/>
  <c r="V31" i="26"/>
  <c r="P31" i="26"/>
  <c r="L31" i="26"/>
  <c r="W30" i="26"/>
  <c r="V30" i="26"/>
  <c r="P30" i="26"/>
  <c r="S30" i="26" s="1"/>
  <c r="T30" i="26" s="1"/>
  <c r="L30" i="26"/>
  <c r="W29" i="26"/>
  <c r="V29" i="26"/>
  <c r="P29" i="26"/>
  <c r="L29" i="26"/>
  <c r="W28" i="26"/>
  <c r="V28" i="26"/>
  <c r="P28" i="26"/>
  <c r="L28" i="26"/>
  <c r="W27" i="26"/>
  <c r="V27" i="26"/>
  <c r="S27" i="26"/>
  <c r="T27" i="26" s="1"/>
  <c r="P27" i="26"/>
  <c r="L27" i="26"/>
  <c r="W26" i="26"/>
  <c r="V26" i="26"/>
  <c r="P26" i="26"/>
  <c r="L26" i="26"/>
  <c r="W25" i="26"/>
  <c r="V25" i="26"/>
  <c r="P25" i="26"/>
  <c r="L25" i="26"/>
  <c r="W24" i="26"/>
  <c r="V24" i="26"/>
  <c r="S24" i="26"/>
  <c r="T24" i="26" s="1"/>
  <c r="P24" i="26"/>
  <c r="L24" i="26"/>
  <c r="W23" i="26"/>
  <c r="V23" i="26"/>
  <c r="P23" i="26"/>
  <c r="L23" i="26"/>
  <c r="W22" i="26"/>
  <c r="V22" i="26"/>
  <c r="P22" i="26"/>
  <c r="L22" i="26"/>
  <c r="W21" i="26"/>
  <c r="V21" i="26"/>
  <c r="P21" i="26"/>
  <c r="L21" i="26"/>
  <c r="W20" i="26"/>
  <c r="V20" i="26"/>
  <c r="P20" i="26"/>
  <c r="L20" i="26"/>
  <c r="W19" i="26"/>
  <c r="V19" i="26"/>
  <c r="P19" i="26"/>
  <c r="L19" i="26"/>
  <c r="W18" i="26"/>
  <c r="V18" i="26"/>
  <c r="L18" i="26"/>
  <c r="H18" i="26"/>
  <c r="P18" i="26" s="1"/>
  <c r="S18" i="26" s="1"/>
  <c r="T18" i="26" s="1"/>
  <c r="W17" i="26"/>
  <c r="V17" i="26"/>
  <c r="L17" i="26"/>
  <c r="H17" i="26"/>
  <c r="P17" i="26" s="1"/>
  <c r="W16" i="26"/>
  <c r="V16" i="26"/>
  <c r="P16" i="26"/>
  <c r="L16" i="26"/>
  <c r="W15" i="26"/>
  <c r="V15" i="26"/>
  <c r="P15" i="26"/>
  <c r="L15" i="26"/>
  <c r="W14" i="26"/>
  <c r="V14" i="26"/>
  <c r="P14" i="26"/>
  <c r="L14" i="26"/>
  <c r="W13" i="26"/>
  <c r="V13" i="26"/>
  <c r="P13" i="26"/>
  <c r="L13" i="26"/>
  <c r="W12" i="26"/>
  <c r="V12" i="26"/>
  <c r="P12" i="26"/>
  <c r="L12" i="26"/>
  <c r="W11" i="26"/>
  <c r="V11" i="26"/>
  <c r="P11" i="26"/>
  <c r="L11" i="26"/>
  <c r="W10" i="26"/>
  <c r="V10" i="26"/>
  <c r="P10" i="26"/>
  <c r="L10" i="26"/>
  <c r="W9" i="26"/>
  <c r="V9" i="26"/>
  <c r="P9" i="26"/>
  <c r="L9" i="26"/>
  <c r="W8" i="26"/>
  <c r="V8" i="26"/>
  <c r="P8" i="26"/>
  <c r="L8" i="26"/>
  <c r="W7" i="26"/>
  <c r="V7" i="26"/>
  <c r="P7" i="26"/>
  <c r="L7" i="26"/>
  <c r="I7" i="26"/>
  <c r="W6" i="26"/>
  <c r="V6" i="26"/>
  <c r="P6" i="26"/>
  <c r="L6" i="26"/>
  <c r="I6" i="26"/>
  <c r="W5" i="26"/>
  <c r="V5" i="26"/>
  <c r="P5" i="26"/>
  <c r="L5" i="26"/>
  <c r="W4" i="26"/>
  <c r="V4" i="26"/>
  <c r="P4" i="26"/>
  <c r="L4" i="26"/>
  <c r="I4" i="26"/>
  <c r="W3" i="26"/>
  <c r="V3" i="26"/>
  <c r="P3" i="26"/>
  <c r="L3" i="26"/>
  <c r="W2" i="26"/>
  <c r="V2" i="26"/>
  <c r="P2" i="26"/>
  <c r="L2" i="26"/>
  <c r="I17" i="25"/>
  <c r="I12" i="25"/>
  <c r="I11" i="25"/>
  <c r="I4" i="25"/>
  <c r="F4" i="25"/>
  <c r="I3" i="25"/>
  <c r="F3" i="25"/>
  <c r="W17" i="25"/>
  <c r="V17" i="25"/>
  <c r="P17" i="25"/>
  <c r="L17" i="25"/>
  <c r="W15" i="25"/>
  <c r="V15" i="25"/>
  <c r="P15" i="25"/>
  <c r="L15" i="25"/>
  <c r="W14" i="25"/>
  <c r="V14" i="25"/>
  <c r="P14" i="25"/>
  <c r="L14" i="25"/>
  <c r="W13" i="25"/>
  <c r="V13" i="25"/>
  <c r="P13" i="25"/>
  <c r="L13" i="25"/>
  <c r="W12" i="25"/>
  <c r="V12" i="25"/>
  <c r="P12" i="25"/>
  <c r="L12" i="25"/>
  <c r="W11" i="25"/>
  <c r="V11" i="25"/>
  <c r="P11" i="25"/>
  <c r="L11" i="25"/>
  <c r="W9" i="25"/>
  <c r="V9" i="25"/>
  <c r="P9" i="25"/>
  <c r="L9" i="25"/>
  <c r="W8" i="25"/>
  <c r="V8" i="25"/>
  <c r="P8" i="25"/>
  <c r="L8" i="25"/>
  <c r="W7" i="25"/>
  <c r="V7" i="25"/>
  <c r="P7" i="25"/>
  <c r="L7" i="25"/>
  <c r="W6" i="25"/>
  <c r="V6" i="25"/>
  <c r="P6" i="25"/>
  <c r="L6" i="25"/>
  <c r="W5" i="25"/>
  <c r="V5" i="25"/>
  <c r="P5" i="25"/>
  <c r="L5" i="25"/>
  <c r="W4" i="25"/>
  <c r="V4" i="25"/>
  <c r="P4" i="25"/>
  <c r="L4" i="25"/>
  <c r="W3" i="25"/>
  <c r="V3" i="25"/>
  <c r="P3" i="25"/>
  <c r="L3" i="25"/>
  <c r="W2" i="25"/>
  <c r="V2" i="25"/>
  <c r="P2" i="25"/>
  <c r="L2" i="25"/>
  <c r="I35" i="23"/>
  <c r="I34" i="23"/>
  <c r="I33" i="23"/>
  <c r="S33" i="23" s="1"/>
  <c r="T33" i="23" s="1"/>
  <c r="H18" i="23"/>
  <c r="P18" i="23" s="1"/>
  <c r="H17" i="23"/>
  <c r="P17" i="23" s="1"/>
  <c r="I7" i="23"/>
  <c r="I4" i="23"/>
  <c r="I6" i="23"/>
  <c r="L7" i="23"/>
  <c r="P7" i="23"/>
  <c r="V7" i="23"/>
  <c r="W7" i="23"/>
  <c r="L8" i="23"/>
  <c r="P8" i="23"/>
  <c r="S8" i="23" s="1"/>
  <c r="T8" i="23" s="1"/>
  <c r="V8" i="23"/>
  <c r="W8" i="23"/>
  <c r="L9" i="23"/>
  <c r="P9" i="23"/>
  <c r="V9" i="23"/>
  <c r="W9" i="23"/>
  <c r="L10" i="23"/>
  <c r="P10" i="23"/>
  <c r="V10" i="23"/>
  <c r="W10" i="23"/>
  <c r="L11" i="23"/>
  <c r="P11" i="23"/>
  <c r="V11" i="23"/>
  <c r="W11" i="23"/>
  <c r="L12" i="23"/>
  <c r="P12" i="23"/>
  <c r="V12" i="23"/>
  <c r="W12" i="23"/>
  <c r="L13" i="23"/>
  <c r="P13" i="23"/>
  <c r="V13" i="23"/>
  <c r="W13" i="23"/>
  <c r="L14" i="23"/>
  <c r="P14" i="23"/>
  <c r="V14" i="23"/>
  <c r="W14" i="23"/>
  <c r="L15" i="23"/>
  <c r="P15" i="23"/>
  <c r="V15" i="23"/>
  <c r="W15" i="23"/>
  <c r="L16" i="23"/>
  <c r="P16" i="23"/>
  <c r="V16" i="23"/>
  <c r="W16" i="23"/>
  <c r="L17" i="23"/>
  <c r="V17" i="23"/>
  <c r="W17" i="23"/>
  <c r="L18" i="23"/>
  <c r="V18" i="23"/>
  <c r="W18" i="23"/>
  <c r="L19" i="23"/>
  <c r="P19" i="23"/>
  <c r="V19" i="23"/>
  <c r="W19" i="23"/>
  <c r="L20" i="23"/>
  <c r="P20" i="23"/>
  <c r="V20" i="23"/>
  <c r="W20" i="23"/>
  <c r="L21" i="23"/>
  <c r="P21" i="23"/>
  <c r="V21" i="23"/>
  <c r="W21" i="23"/>
  <c r="L22" i="23"/>
  <c r="P22" i="23"/>
  <c r="V22" i="23"/>
  <c r="W22" i="23"/>
  <c r="L23" i="23"/>
  <c r="P23" i="23"/>
  <c r="V23" i="23"/>
  <c r="W23" i="23"/>
  <c r="L24" i="23"/>
  <c r="P24" i="23"/>
  <c r="V24" i="23"/>
  <c r="W24" i="23"/>
  <c r="L25" i="23"/>
  <c r="P25" i="23"/>
  <c r="V25" i="23"/>
  <c r="W25" i="23"/>
  <c r="L26" i="23"/>
  <c r="P26" i="23"/>
  <c r="V26" i="23"/>
  <c r="W26" i="23"/>
  <c r="L27" i="23"/>
  <c r="P27" i="23"/>
  <c r="V27" i="23"/>
  <c r="W27" i="23"/>
  <c r="L28" i="23"/>
  <c r="P28" i="23"/>
  <c r="V28" i="23"/>
  <c r="W28" i="23"/>
  <c r="L29" i="23"/>
  <c r="P29" i="23"/>
  <c r="V29" i="23"/>
  <c r="W29" i="23"/>
  <c r="L30" i="23"/>
  <c r="P30" i="23"/>
  <c r="V30" i="23"/>
  <c r="W30" i="23"/>
  <c r="L31" i="23"/>
  <c r="P31" i="23"/>
  <c r="V31" i="23"/>
  <c r="W31" i="23"/>
  <c r="L32" i="23"/>
  <c r="P32" i="23"/>
  <c r="V32" i="23"/>
  <c r="W32" i="23"/>
  <c r="L33" i="23"/>
  <c r="P33" i="23"/>
  <c r="V33" i="23"/>
  <c r="W33" i="23"/>
  <c r="L34" i="23"/>
  <c r="P34" i="23"/>
  <c r="V34" i="23"/>
  <c r="W34" i="23"/>
  <c r="L35" i="23"/>
  <c r="P35" i="23"/>
  <c r="V35" i="23"/>
  <c r="W35" i="23"/>
  <c r="R8" i="27" l="1"/>
  <c r="R6" i="27"/>
  <c r="R2" i="27"/>
  <c r="R11" i="27"/>
  <c r="R10" i="27"/>
  <c r="R9" i="27"/>
  <c r="R4" i="27"/>
  <c r="R3" i="27"/>
  <c r="R7" i="27"/>
  <c r="R5" i="27"/>
  <c r="N17" i="23"/>
  <c r="Q17" i="23"/>
  <c r="R17" i="23" s="1"/>
  <c r="S2" i="26"/>
  <c r="T2" i="26" s="1"/>
  <c r="Q2" i="26"/>
  <c r="N2" i="26"/>
  <c r="Q3" i="26"/>
  <c r="N3" i="26"/>
  <c r="M3" i="26" s="1"/>
  <c r="Q4" i="26"/>
  <c r="N4" i="26"/>
  <c r="M4" i="26" s="1"/>
  <c r="S5" i="26"/>
  <c r="T5" i="26" s="1"/>
  <c r="Q5" i="26"/>
  <c r="R5" i="26" s="1"/>
  <c r="N5" i="26"/>
  <c r="Q8" i="26"/>
  <c r="N8" i="26"/>
  <c r="M8" i="26" s="1"/>
  <c r="N14" i="26"/>
  <c r="M14" i="26" s="1"/>
  <c r="Q14" i="26"/>
  <c r="Q17" i="26"/>
  <c r="N17" i="26"/>
  <c r="M17" i="26" s="1"/>
  <c r="Q21" i="26"/>
  <c r="R21" i="26" s="1"/>
  <c r="N21" i="26"/>
  <c r="M21" i="26" s="1"/>
  <c r="Q25" i="26"/>
  <c r="N25" i="26"/>
  <c r="S26" i="26"/>
  <c r="T26" i="26" s="1"/>
  <c r="N26" i="26"/>
  <c r="Q26" i="26"/>
  <c r="N31" i="26"/>
  <c r="M31" i="26" s="1"/>
  <c r="Q31" i="26"/>
  <c r="Q32" i="26"/>
  <c r="N32" i="26"/>
  <c r="M32" i="26" s="1"/>
  <c r="N18" i="23"/>
  <c r="M18" i="23" s="1"/>
  <c r="Q18" i="23"/>
  <c r="S4" i="26"/>
  <c r="T4" i="26" s="1"/>
  <c r="S7" i="26"/>
  <c r="T7" i="26" s="1"/>
  <c r="S8" i="26"/>
  <c r="T8" i="26" s="1"/>
  <c r="S9" i="26"/>
  <c r="T9" i="26" s="1"/>
  <c r="Q9" i="26"/>
  <c r="N9" i="26"/>
  <c r="S10" i="26"/>
  <c r="T10" i="26" s="1"/>
  <c r="N10" i="26"/>
  <c r="Q10" i="26"/>
  <c r="S14" i="26"/>
  <c r="T14" i="26" s="1"/>
  <c r="S15" i="26"/>
  <c r="T15" i="26" s="1"/>
  <c r="N15" i="26"/>
  <c r="Q15" i="26"/>
  <c r="S16" i="26"/>
  <c r="T16" i="26" s="1"/>
  <c r="Q16" i="26"/>
  <c r="N16" i="26"/>
  <c r="N18" i="26"/>
  <c r="M18" i="26" s="1"/>
  <c r="Q18" i="26"/>
  <c r="R18" i="26" s="1"/>
  <c r="S21" i="26"/>
  <c r="T21" i="26" s="1"/>
  <c r="N27" i="26"/>
  <c r="M27" i="26" s="1"/>
  <c r="Q27" i="26"/>
  <c r="Q33" i="26"/>
  <c r="N33" i="26"/>
  <c r="M33" i="26" s="1"/>
  <c r="R14" i="27"/>
  <c r="R24" i="28"/>
  <c r="S16" i="23"/>
  <c r="T16" i="23" s="1"/>
  <c r="Q16" i="23"/>
  <c r="R16" i="23" s="1"/>
  <c r="N16" i="23"/>
  <c r="N15" i="23"/>
  <c r="Q15" i="23"/>
  <c r="R15" i="23" s="1"/>
  <c r="N14" i="23"/>
  <c r="M14" i="23" s="1"/>
  <c r="Q14" i="23"/>
  <c r="S13" i="23"/>
  <c r="T13" i="23" s="1"/>
  <c r="N13" i="23"/>
  <c r="M13" i="23" s="1"/>
  <c r="Q13" i="23"/>
  <c r="R13" i="23" s="1"/>
  <c r="N12" i="23"/>
  <c r="Q12" i="23"/>
  <c r="N11" i="23"/>
  <c r="M11" i="23" s="1"/>
  <c r="Q11" i="23"/>
  <c r="R11" i="23" s="1"/>
  <c r="Q10" i="23"/>
  <c r="N10" i="23"/>
  <c r="Q9" i="23"/>
  <c r="N9" i="23"/>
  <c r="M9" i="23" s="1"/>
  <c r="Q8" i="23"/>
  <c r="N8" i="23"/>
  <c r="N7" i="23"/>
  <c r="Q7" i="23"/>
  <c r="R7" i="23" s="1"/>
  <c r="N2" i="25"/>
  <c r="Q2" i="25"/>
  <c r="Q3" i="25"/>
  <c r="N3" i="25"/>
  <c r="M3" i="25" s="1"/>
  <c r="N4" i="25"/>
  <c r="Q4" i="25"/>
  <c r="Q5" i="25"/>
  <c r="N5" i="25"/>
  <c r="M5" i="25" s="1"/>
  <c r="N6" i="25"/>
  <c r="Q6" i="25"/>
  <c r="N7" i="25"/>
  <c r="M7" i="25" s="1"/>
  <c r="Q7" i="25"/>
  <c r="Q8" i="25"/>
  <c r="N8" i="25"/>
  <c r="N9" i="25"/>
  <c r="M9" i="25" s="1"/>
  <c r="Q9" i="25"/>
  <c r="Q11" i="25"/>
  <c r="N11" i="25"/>
  <c r="Q12" i="25"/>
  <c r="N12" i="25"/>
  <c r="M12" i="25" s="1"/>
  <c r="Q13" i="25"/>
  <c r="N13" i="25"/>
  <c r="M13" i="25" s="1"/>
  <c r="S14" i="25"/>
  <c r="T14" i="25" s="1"/>
  <c r="Q14" i="25"/>
  <c r="N14" i="25"/>
  <c r="N15" i="25"/>
  <c r="Q15" i="25"/>
  <c r="Q17" i="25"/>
  <c r="N17" i="25"/>
  <c r="S3" i="26"/>
  <c r="T3" i="26" s="1"/>
  <c r="N6" i="26"/>
  <c r="M6" i="26" s="1"/>
  <c r="Q6" i="26"/>
  <c r="R6" i="26" s="1"/>
  <c r="Q11" i="26"/>
  <c r="N11" i="26"/>
  <c r="M11" i="26" s="1"/>
  <c r="S17" i="26"/>
  <c r="T17" i="26" s="1"/>
  <c r="Q22" i="26"/>
  <c r="R22" i="26" s="1"/>
  <c r="N22" i="26"/>
  <c r="S23" i="26"/>
  <c r="T23" i="26" s="1"/>
  <c r="Q23" i="26"/>
  <c r="N23" i="26"/>
  <c r="M23" i="26" s="1"/>
  <c r="N34" i="26"/>
  <c r="Q34" i="26"/>
  <c r="Q18" i="25"/>
  <c r="N18" i="25"/>
  <c r="M18" i="25" s="1"/>
  <c r="N35" i="23"/>
  <c r="Q35" i="23"/>
  <c r="Q34" i="23"/>
  <c r="N34" i="23"/>
  <c r="M34" i="23" s="1"/>
  <c r="N33" i="23"/>
  <c r="Q33" i="23"/>
  <c r="Q32" i="23"/>
  <c r="N32" i="23"/>
  <c r="M32" i="23" s="1"/>
  <c r="S31" i="23"/>
  <c r="T31" i="23" s="1"/>
  <c r="N31" i="23"/>
  <c r="Q31" i="23"/>
  <c r="R31" i="23" s="1"/>
  <c r="N30" i="23"/>
  <c r="M30" i="23" s="1"/>
  <c r="Q30" i="23"/>
  <c r="Q29" i="23"/>
  <c r="N29" i="23"/>
  <c r="M29" i="23" s="1"/>
  <c r="S28" i="23"/>
  <c r="T28" i="23" s="1"/>
  <c r="N28" i="23"/>
  <c r="Q28" i="23"/>
  <c r="N27" i="23"/>
  <c r="M27" i="23" s="1"/>
  <c r="Q27" i="23"/>
  <c r="R27" i="23" s="1"/>
  <c r="Q26" i="23"/>
  <c r="N26" i="23"/>
  <c r="S25" i="23"/>
  <c r="T25" i="23" s="1"/>
  <c r="N25" i="23"/>
  <c r="M25" i="23" s="1"/>
  <c r="Q25" i="23"/>
  <c r="Q24" i="23"/>
  <c r="N24" i="23"/>
  <c r="N23" i="23"/>
  <c r="M23" i="23" s="1"/>
  <c r="Q23" i="23"/>
  <c r="S22" i="23"/>
  <c r="T22" i="23" s="1"/>
  <c r="N22" i="23"/>
  <c r="M22" i="23" s="1"/>
  <c r="Q22" i="23"/>
  <c r="R22" i="23" s="1"/>
  <c r="N21" i="23"/>
  <c r="Q21" i="23"/>
  <c r="N20" i="23"/>
  <c r="M20" i="23" s="1"/>
  <c r="Q20" i="23"/>
  <c r="R20" i="23" s="1"/>
  <c r="S19" i="23"/>
  <c r="T19" i="23" s="1"/>
  <c r="N19" i="23"/>
  <c r="Q19" i="23"/>
  <c r="R19" i="23" s="1"/>
  <c r="Q7" i="26"/>
  <c r="R7" i="26" s="1"/>
  <c r="N7" i="26"/>
  <c r="M7" i="26" s="1"/>
  <c r="S11" i="26"/>
  <c r="T11" i="26" s="1"/>
  <c r="S12" i="26"/>
  <c r="T12" i="26" s="1"/>
  <c r="Q12" i="26"/>
  <c r="R12" i="26" s="1"/>
  <c r="N12" i="26"/>
  <c r="S13" i="26"/>
  <c r="T13" i="26" s="1"/>
  <c r="Q13" i="26"/>
  <c r="N13" i="26"/>
  <c r="N19" i="26"/>
  <c r="Q19" i="26"/>
  <c r="S20" i="26"/>
  <c r="T20" i="26" s="1"/>
  <c r="Q20" i="26"/>
  <c r="R20" i="26" s="1"/>
  <c r="N20" i="26"/>
  <c r="Q24" i="26"/>
  <c r="N24" i="26"/>
  <c r="M24" i="26" s="1"/>
  <c r="S28" i="26"/>
  <c r="T28" i="26" s="1"/>
  <c r="Q28" i="26"/>
  <c r="N28" i="26"/>
  <c r="S29" i="26"/>
  <c r="T29" i="26" s="1"/>
  <c r="Q29" i="26"/>
  <c r="N29" i="26"/>
  <c r="Q30" i="26"/>
  <c r="N30" i="26"/>
  <c r="S35" i="26"/>
  <c r="T35" i="26" s="1"/>
  <c r="N35" i="26"/>
  <c r="Q35" i="26"/>
  <c r="R13" i="27"/>
  <c r="R12" i="27"/>
  <c r="R15" i="27"/>
  <c r="M6" i="27"/>
  <c r="M12" i="27"/>
  <c r="M15" i="27"/>
  <c r="M10" i="27"/>
  <c r="M8" i="27"/>
  <c r="M13" i="27"/>
  <c r="S18" i="25"/>
  <c r="T18" i="25" s="1"/>
  <c r="S22" i="26"/>
  <c r="T22" i="26" s="1"/>
  <c r="M29" i="26"/>
  <c r="S19" i="26"/>
  <c r="T19" i="26" s="1"/>
  <c r="S25" i="26"/>
  <c r="T25" i="26" s="1"/>
  <c r="M34" i="26"/>
  <c r="M5" i="26"/>
  <c r="S6" i="26"/>
  <c r="T6" i="26" s="1"/>
  <c r="M30" i="26"/>
  <c r="S32" i="26"/>
  <c r="T32" i="26" s="1"/>
  <c r="S31" i="26"/>
  <c r="T31" i="26" s="1"/>
  <c r="S11" i="25"/>
  <c r="T11" i="25" s="1"/>
  <c r="S12" i="25"/>
  <c r="T12" i="25" s="1"/>
  <c r="S4" i="25"/>
  <c r="T4" i="25" s="1"/>
  <c r="S3" i="25"/>
  <c r="T3" i="25" s="1"/>
  <c r="S15" i="25"/>
  <c r="T15" i="25" s="1"/>
  <c r="S7" i="25"/>
  <c r="T7" i="25" s="1"/>
  <c r="S8" i="25"/>
  <c r="T8" i="25" s="1"/>
  <c r="M4" i="25"/>
  <c r="M8" i="25"/>
  <c r="M2" i="25"/>
  <c r="M17" i="25"/>
  <c r="M15" i="25"/>
  <c r="M6" i="25"/>
  <c r="S2" i="25"/>
  <c r="T2" i="25" s="1"/>
  <c r="S6" i="25"/>
  <c r="T6" i="25" s="1"/>
  <c r="S5" i="25"/>
  <c r="T5" i="25" s="1"/>
  <c r="S9" i="25"/>
  <c r="T9" i="25" s="1"/>
  <c r="S13" i="25"/>
  <c r="T13" i="25" s="1"/>
  <c r="S17" i="25"/>
  <c r="T17" i="25" s="1"/>
  <c r="S26" i="23"/>
  <c r="T26" i="23" s="1"/>
  <c r="S34" i="23"/>
  <c r="T34" i="23" s="1"/>
  <c r="M28" i="23"/>
  <c r="S27" i="23"/>
  <c r="T27" i="23" s="1"/>
  <c r="S21" i="23"/>
  <c r="T21" i="23" s="1"/>
  <c r="S20" i="23"/>
  <c r="T20" i="23" s="1"/>
  <c r="M31" i="23"/>
  <c r="S15" i="23"/>
  <c r="T15" i="23" s="1"/>
  <c r="S30" i="23"/>
  <c r="T30" i="23" s="1"/>
  <c r="S24" i="23"/>
  <c r="T24" i="23" s="1"/>
  <c r="S18" i="23"/>
  <c r="T18" i="23" s="1"/>
  <c r="S35" i="23"/>
  <c r="T35" i="23" s="1"/>
  <c r="S29" i="23"/>
  <c r="T29" i="23" s="1"/>
  <c r="S23" i="23"/>
  <c r="T23" i="23" s="1"/>
  <c r="S17" i="23"/>
  <c r="T17" i="23" s="1"/>
  <c r="M16" i="23"/>
  <c r="S32" i="23"/>
  <c r="T32" i="23" s="1"/>
  <c r="S14" i="23"/>
  <c r="T14" i="23" s="1"/>
  <c r="S7" i="23"/>
  <c r="T7" i="23" s="1"/>
  <c r="S12" i="23"/>
  <c r="T12" i="23" s="1"/>
  <c r="S11" i="23"/>
  <c r="T11" i="23" s="1"/>
  <c r="S10" i="23"/>
  <c r="T10" i="23" s="1"/>
  <c r="S9" i="23"/>
  <c r="T9" i="23" s="1"/>
  <c r="M35" i="23"/>
  <c r="M26" i="23"/>
  <c r="M21" i="23"/>
  <c r="M17" i="23"/>
  <c r="M10" i="23"/>
  <c r="M24" i="23"/>
  <c r="M12" i="23"/>
  <c r="M7" i="23"/>
  <c r="M33" i="23"/>
  <c r="M19" i="23"/>
  <c r="M15" i="23"/>
  <c r="M8" i="23"/>
  <c r="R26" i="26" l="1"/>
  <c r="R17" i="25"/>
  <c r="R14" i="25"/>
  <c r="R9" i="25"/>
  <c r="R7" i="25"/>
  <c r="R15" i="25"/>
  <c r="R35" i="26"/>
  <c r="R19" i="26"/>
  <c r="R21" i="23"/>
  <c r="R28" i="23"/>
  <c r="R33" i="23"/>
  <c r="R35" i="23"/>
  <c r="R34" i="26"/>
  <c r="R6" i="25"/>
  <c r="R4" i="25"/>
  <c r="R2" i="25"/>
  <c r="R12" i="23"/>
  <c r="R27" i="26"/>
  <c r="R18" i="23"/>
  <c r="R31" i="26"/>
  <c r="R24" i="26"/>
  <c r="R13" i="26"/>
  <c r="R34" i="23"/>
  <c r="R23" i="26"/>
  <c r="R12" i="25"/>
  <c r="R3" i="25"/>
  <c r="R33" i="26"/>
  <c r="R24" i="23"/>
  <c r="R29" i="23"/>
  <c r="R29" i="26"/>
  <c r="R23" i="23"/>
  <c r="R25" i="23"/>
  <c r="R26" i="23"/>
  <c r="R30" i="23"/>
  <c r="R11" i="26"/>
  <c r="R13" i="25"/>
  <c r="R11" i="25"/>
  <c r="R8" i="25"/>
  <c r="R8" i="23"/>
  <c r="R10" i="23"/>
  <c r="R14" i="23"/>
  <c r="R15" i="26"/>
  <c r="R10" i="26"/>
  <c r="R9" i="26"/>
  <c r="R32" i="26"/>
  <c r="R14" i="26"/>
  <c r="R4" i="26"/>
  <c r="R2" i="26"/>
  <c r="R30" i="26"/>
  <c r="R32" i="23"/>
  <c r="R18" i="25"/>
  <c r="R5" i="25"/>
  <c r="R9" i="23"/>
  <c r="R16" i="26"/>
  <c r="R3" i="26"/>
  <c r="R28" i="26"/>
  <c r="R25" i="26"/>
  <c r="R17" i="26"/>
  <c r="R8" i="26"/>
  <c r="M13" i="26"/>
  <c r="M20" i="26"/>
  <c r="M10" i="26"/>
  <c r="M9" i="26"/>
  <c r="M12" i="26"/>
  <c r="M35" i="26"/>
  <c r="M19" i="26"/>
  <c r="M26" i="26"/>
  <c r="M16" i="26"/>
  <c r="M2" i="26"/>
  <c r="M28" i="26"/>
  <c r="M25" i="26"/>
  <c r="M15" i="26"/>
  <c r="M22" i="26"/>
  <c r="M14" i="25"/>
  <c r="M11" i="25"/>
  <c r="P3" i="23" l="1"/>
  <c r="P4" i="23"/>
  <c r="P5" i="23"/>
  <c r="P6" i="23"/>
  <c r="P2" i="23"/>
  <c r="W3" i="23"/>
  <c r="W4" i="23"/>
  <c r="W5" i="23"/>
  <c r="W6" i="23"/>
  <c r="W2" i="23"/>
  <c r="V3" i="23"/>
  <c r="V4" i="23"/>
  <c r="V5" i="23"/>
  <c r="V6" i="23"/>
  <c r="V2" i="23"/>
  <c r="S4" i="23" l="1"/>
  <c r="N4" i="23"/>
  <c r="Q4" i="23"/>
  <c r="S2" i="23"/>
  <c r="N2" i="23"/>
  <c r="Q2" i="23"/>
  <c r="S3" i="23"/>
  <c r="N3" i="23"/>
  <c r="Q3" i="23"/>
  <c r="S6" i="23"/>
  <c r="T6" i="23" s="1"/>
  <c r="N6" i="23"/>
  <c r="M6" i="23" s="1"/>
  <c r="Q6" i="23"/>
  <c r="R6" i="23" s="1"/>
  <c r="S5" i="23"/>
  <c r="N5" i="23"/>
  <c r="Q5" i="23"/>
  <c r="R5" i="23" s="1"/>
  <c r="L6" i="23"/>
  <c r="R4" i="23" l="1"/>
  <c r="R2" i="23"/>
  <c r="R3" i="23"/>
  <c r="T4" i="23"/>
  <c r="T5" i="23"/>
  <c r="L5" i="23"/>
  <c r="T3" i="23"/>
  <c r="T2" i="23"/>
  <c r="M3" i="23"/>
  <c r="M4" i="23"/>
  <c r="M5" i="23"/>
  <c r="M2" i="23"/>
  <c r="L4" i="23"/>
  <c r="L3" i="23"/>
  <c r="L2" i="23"/>
</calcChain>
</file>

<file path=xl/sharedStrings.xml><?xml version="1.0" encoding="utf-8"?>
<sst xmlns="http://schemas.openxmlformats.org/spreadsheetml/2006/main" count="3110" uniqueCount="832">
  <si>
    <t>Floor</t>
  </si>
  <si>
    <t>Window Ventilation (1/0)</t>
  </si>
  <si>
    <t>Ventilated (1/0)</t>
  </si>
  <si>
    <t>Fan Number</t>
  </si>
  <si>
    <t>Supply Flow [m³/h]</t>
  </si>
  <si>
    <t>Exhaust Flow [m³/h]</t>
  </si>
  <si>
    <t>Exhaust Temp [°C]</t>
  </si>
  <si>
    <t>Supply Temp [°C]</t>
  </si>
  <si>
    <t>Target Temperature [°C]</t>
  </si>
  <si>
    <t xml:space="preserve">Heating times </t>
  </si>
  <si>
    <t>Mixing Ventilation (1/0)</t>
  </si>
  <si>
    <t>Occupancy schedule</t>
  </si>
  <si>
    <t>Occupancy Intensity</t>
  </si>
  <si>
    <t>etc.</t>
  </si>
  <si>
    <t>Inner walls length[m]</t>
  </si>
  <si>
    <t>Index</t>
  </si>
  <si>
    <t>NetArea[m²]</t>
  </si>
  <si>
    <t>RoomIdentifier</t>
  </si>
  <si>
    <t>UsageType</t>
  </si>
  <si>
    <t>BelongsToIdentifier</t>
  </si>
  <si>
    <t>WindowArea[m²]</t>
  </si>
  <si>
    <t>OuterWallArea[m²]</t>
  </si>
  <si>
    <t>OuterWallConstruction</t>
  </si>
  <si>
    <t>HeatedRoomHeight[m]</t>
  </si>
  <si>
    <t>WindowConstruction</t>
  </si>
  <si>
    <t>IsRooftop</t>
  </si>
  <si>
    <t>IsGroundFloor</t>
  </si>
  <si>
    <t>InnerWallArea[m²]</t>
  </si>
  <si>
    <t>WindowOrientation[°]</t>
  </si>
  <si>
    <t>OuterWallOrientation[°]</t>
  </si>
  <si>
    <t>InnerWallConstruction</t>
  </si>
  <si>
    <t>FloorConstruction</t>
  </si>
  <si>
    <t>CeilingConstruction</t>
  </si>
  <si>
    <t>WallAdjacentTo</t>
  </si>
  <si>
    <t>OuterWallAreaInclWindow</t>
  </si>
  <si>
    <t>Outer Wall length [m]</t>
  </si>
  <si>
    <t>Setup:</t>
  </si>
  <si>
    <t>Height [m]</t>
  </si>
  <si>
    <t>Windows</t>
  </si>
  <si>
    <t>Zones are used to calculate thermal behaviour between walls and areas within the building that are not rooms. Examples are the courtyard and several shafts. The Zones are shown in sheet "Zones". All other shafts or areas can be ignored and adjacent walls are interior walls.</t>
  </si>
  <si>
    <t>Orange columns MUST be filled in MANUALLY although not all orange columns must have a value. All all other columns are filled in automatically.</t>
  </si>
  <si>
    <t>Yellow and some orange columns are read by Teaser.</t>
  </si>
  <si>
    <t>Deutsch</t>
  </si>
  <si>
    <t>Reinigungsraum</t>
  </si>
  <si>
    <t>N/A</t>
  </si>
  <si>
    <t>Storage</t>
  </si>
  <si>
    <t>Abstellraum</t>
  </si>
  <si>
    <t>English</t>
  </si>
  <si>
    <t>Patientenraum</t>
  </si>
  <si>
    <t>PatientRoom</t>
  </si>
  <si>
    <t>CleaningRoom</t>
  </si>
  <si>
    <t>OuterWallLength[drawing m]</t>
  </si>
  <si>
    <t>Circumference[drawing m]</t>
  </si>
  <si>
    <t>Büro</t>
  </si>
  <si>
    <t>Office</t>
  </si>
  <si>
    <t>TechnicalRoom</t>
  </si>
  <si>
    <t>Technikraum</t>
  </si>
  <si>
    <t>Washing</t>
  </si>
  <si>
    <t>Aufenthaltsraum</t>
  </si>
  <si>
    <t>Lounge</t>
  </si>
  <si>
    <t>Stützpunkt</t>
  </si>
  <si>
    <t>Reception</t>
  </si>
  <si>
    <t>Aisle</t>
  </si>
  <si>
    <t>Flur</t>
  </si>
  <si>
    <t>WC</t>
  </si>
  <si>
    <t>Nasszelle / Bad</t>
  </si>
  <si>
    <t>Kitchen</t>
  </si>
  <si>
    <t>TreatmentRoom</t>
  </si>
  <si>
    <t>Behandlungsraum</t>
  </si>
  <si>
    <t>Inner Walls</t>
  </si>
  <si>
    <t>Outer Walls</t>
  </si>
  <si>
    <t>Gym</t>
  </si>
  <si>
    <t>Küche</t>
  </si>
  <si>
    <t>Toilette</t>
  </si>
  <si>
    <t>WasteHandling</t>
  </si>
  <si>
    <t>Entsorgung</t>
  </si>
  <si>
    <t>7.01.01</t>
  </si>
  <si>
    <t>7.01.02</t>
  </si>
  <si>
    <t>7.01.03</t>
  </si>
  <si>
    <t>7.01.04</t>
  </si>
  <si>
    <t>7.01.05</t>
  </si>
  <si>
    <t>7.01.06</t>
  </si>
  <si>
    <t>7.01.07</t>
  </si>
  <si>
    <t>7.01.08</t>
  </si>
  <si>
    <t>7.01.09</t>
  </si>
  <si>
    <t>7.01.10</t>
  </si>
  <si>
    <t>7.01.06.1</t>
  </si>
  <si>
    <t>7.01.10.1</t>
  </si>
  <si>
    <t>7.01.11</t>
  </si>
  <si>
    <t>7.01.12</t>
  </si>
  <si>
    <t>7.01.12.1</t>
  </si>
  <si>
    <t>7.01.13</t>
  </si>
  <si>
    <t>7.01.14</t>
  </si>
  <si>
    <t>7.01.15</t>
  </si>
  <si>
    <t>7.01.16</t>
  </si>
  <si>
    <t>7.01.17</t>
  </si>
  <si>
    <t>7.01.17.1</t>
  </si>
  <si>
    <t>7.01.18</t>
  </si>
  <si>
    <t>7.01.19</t>
  </si>
  <si>
    <t>7.01.20</t>
  </si>
  <si>
    <t>7.01.21</t>
  </si>
  <si>
    <t>7.01.22</t>
  </si>
  <si>
    <t>7.01.22.1</t>
  </si>
  <si>
    <t>7.01.23</t>
  </si>
  <si>
    <t>7.01.23.1</t>
  </si>
  <si>
    <t>7.01.24</t>
  </si>
  <si>
    <t>7.01.25</t>
  </si>
  <si>
    <t>7.A.01</t>
  </si>
  <si>
    <t>7.A.02</t>
  </si>
  <si>
    <t>7.A.03</t>
  </si>
  <si>
    <t>7.01.00</t>
  </si>
  <si>
    <t>7.02.01</t>
  </si>
  <si>
    <t>7.02.02</t>
  </si>
  <si>
    <t>7.02.03</t>
  </si>
  <si>
    <t>7.02.04</t>
  </si>
  <si>
    <t>7.02.05</t>
  </si>
  <si>
    <t>7.02.06</t>
  </si>
  <si>
    <t>7.02.06.1</t>
  </si>
  <si>
    <t>7.02.07</t>
  </si>
  <si>
    <t>7.02.08</t>
  </si>
  <si>
    <t>7.02.09</t>
  </si>
  <si>
    <t>7.02.10</t>
  </si>
  <si>
    <t>7.02.10.1</t>
  </si>
  <si>
    <t>7.02.11</t>
  </si>
  <si>
    <t>7.02.12</t>
  </si>
  <si>
    <t>7.02.12.1</t>
  </si>
  <si>
    <t>7.02.13</t>
  </si>
  <si>
    <t>7.02.14</t>
  </si>
  <si>
    <t>7.02.15</t>
  </si>
  <si>
    <t>7.02.16</t>
  </si>
  <si>
    <t>7.02.17</t>
  </si>
  <si>
    <t>7.02.17.1</t>
  </si>
  <si>
    <t>7.02.18</t>
  </si>
  <si>
    <t>7.02.19</t>
  </si>
  <si>
    <t>7.02.20</t>
  </si>
  <si>
    <t>7.02.21</t>
  </si>
  <si>
    <t>7.02.22</t>
  </si>
  <si>
    <t>7.02.22.1</t>
  </si>
  <si>
    <t>7.02.23</t>
  </si>
  <si>
    <t>7.02.23.1</t>
  </si>
  <si>
    <t>7.02.24</t>
  </si>
  <si>
    <t>7.02.25</t>
  </si>
  <si>
    <t>7.A.04</t>
  </si>
  <si>
    <t>7.A.05</t>
  </si>
  <si>
    <t>7.A.06</t>
  </si>
  <si>
    <t>7.02.00</t>
  </si>
  <si>
    <t>7.03.01</t>
  </si>
  <si>
    <t>7.03.02</t>
  </si>
  <si>
    <t>7.03.02.1</t>
  </si>
  <si>
    <t>7.03.03</t>
  </si>
  <si>
    <t>7.03.03.1</t>
  </si>
  <si>
    <t>7.03.04</t>
  </si>
  <si>
    <t>7.03.04.1</t>
  </si>
  <si>
    <t>7.03.00</t>
  </si>
  <si>
    <t>7.03.05</t>
  </si>
  <si>
    <t>7.03.05.1</t>
  </si>
  <si>
    <t>7.03.07</t>
  </si>
  <si>
    <t>7.03.08</t>
  </si>
  <si>
    <t>7.03.09</t>
  </si>
  <si>
    <t>7.03.09.1</t>
  </si>
  <si>
    <t>7.03.10</t>
  </si>
  <si>
    <t>7.03.10.1</t>
  </si>
  <si>
    <t>7.03.11</t>
  </si>
  <si>
    <t>7.03.11.1</t>
  </si>
  <si>
    <t>7.03.12</t>
  </si>
  <si>
    <t>7.03.12.1</t>
  </si>
  <si>
    <t>7.03.13</t>
  </si>
  <si>
    <t>7.03.14</t>
  </si>
  <si>
    <t>7.03.15</t>
  </si>
  <si>
    <t>7.03.15.1</t>
  </si>
  <si>
    <t>7.03.16</t>
  </si>
  <si>
    <t>7.03.16.1</t>
  </si>
  <si>
    <t>7.03.17</t>
  </si>
  <si>
    <t>7.03.17.1</t>
  </si>
  <si>
    <t>7.03.18</t>
  </si>
  <si>
    <t>7.03.19</t>
  </si>
  <si>
    <t>7.03.20</t>
  </si>
  <si>
    <t>7.03.21</t>
  </si>
  <si>
    <t>7.03.22</t>
  </si>
  <si>
    <t>7.03.22.1</t>
  </si>
  <si>
    <t>7.03.23</t>
  </si>
  <si>
    <t>7.03.23.1</t>
  </si>
  <si>
    <t>7.03.24</t>
  </si>
  <si>
    <t>7.03.24.1</t>
  </si>
  <si>
    <t>7.03.25</t>
  </si>
  <si>
    <t>7.03.25.1</t>
  </si>
  <si>
    <t>7.03.26</t>
  </si>
  <si>
    <t>7.A.07</t>
  </si>
  <si>
    <t>7.04.01</t>
  </si>
  <si>
    <t>7.04.02</t>
  </si>
  <si>
    <t>7.04.02.1</t>
  </si>
  <si>
    <t>7.04.03</t>
  </si>
  <si>
    <t>7.04.03.1</t>
  </si>
  <si>
    <t>7.04.04</t>
  </si>
  <si>
    <t>7.04.04.1</t>
  </si>
  <si>
    <t>7.04.00</t>
  </si>
  <si>
    <t>7.04.05</t>
  </si>
  <si>
    <t>7.04.05.1</t>
  </si>
  <si>
    <t>7.04.06</t>
  </si>
  <si>
    <t>7.04.07</t>
  </si>
  <si>
    <t>7.04.09</t>
  </si>
  <si>
    <t>7.04.10</t>
  </si>
  <si>
    <t>7.04.10.1</t>
  </si>
  <si>
    <t>7.04.11</t>
  </si>
  <si>
    <t>7.04.11.1</t>
  </si>
  <si>
    <t>7.04.12</t>
  </si>
  <si>
    <t>7.04.12.1</t>
  </si>
  <si>
    <t>7.04.13</t>
  </si>
  <si>
    <t>7.04.14</t>
  </si>
  <si>
    <t>7.04.15</t>
  </si>
  <si>
    <t>7.04.15.1</t>
  </si>
  <si>
    <t>7.04.16</t>
  </si>
  <si>
    <t>7.04.16.1</t>
  </si>
  <si>
    <t>7.04.17</t>
  </si>
  <si>
    <t>7.04.17.1</t>
  </si>
  <si>
    <t>7.04.18</t>
  </si>
  <si>
    <t>7.04.19</t>
  </si>
  <si>
    <t>7.04.20</t>
  </si>
  <si>
    <t>7.04.22</t>
  </si>
  <si>
    <t>7.04.22.1</t>
  </si>
  <si>
    <t>7.04.23</t>
  </si>
  <si>
    <t>7.04.23.1</t>
  </si>
  <si>
    <t>7.04.24</t>
  </si>
  <si>
    <t>7.04.24.1</t>
  </si>
  <si>
    <t>7.04.25</t>
  </si>
  <si>
    <t>7.04.25.1</t>
  </si>
  <si>
    <t>7.04.26</t>
  </si>
  <si>
    <t>7.A.08</t>
  </si>
  <si>
    <t>7.04.06.1</t>
  </si>
  <si>
    <t>7.04.19.1</t>
  </si>
  <si>
    <t>7.A.09</t>
  </si>
  <si>
    <t>7.05.05.1</t>
  </si>
  <si>
    <t>7.04.18.1</t>
  </si>
  <si>
    <t>7.06.01</t>
  </si>
  <si>
    <t>7.06.02</t>
  </si>
  <si>
    <t>7.06.02.1</t>
  </si>
  <si>
    <t>7.06.03</t>
  </si>
  <si>
    <t>7.06.03.1</t>
  </si>
  <si>
    <t>7.06.04</t>
  </si>
  <si>
    <t>7.06.04.1</t>
  </si>
  <si>
    <t>7.06.00</t>
  </si>
  <si>
    <t>7.06.05</t>
  </si>
  <si>
    <t>7.06.07</t>
  </si>
  <si>
    <t>7.06.08</t>
  </si>
  <si>
    <t>7.06.09</t>
  </si>
  <si>
    <t>7.06.09.1</t>
  </si>
  <si>
    <t>7.06.10</t>
  </si>
  <si>
    <t>7.06.10.1</t>
  </si>
  <si>
    <t>7.06.11</t>
  </si>
  <si>
    <t>7.06.11.1</t>
  </si>
  <si>
    <t>7.06.12</t>
  </si>
  <si>
    <t>7.06.12.1</t>
  </si>
  <si>
    <t>7.06.13</t>
  </si>
  <si>
    <t>7.06.14</t>
  </si>
  <si>
    <t>7.06.15</t>
  </si>
  <si>
    <t>7.06.15.1</t>
  </si>
  <si>
    <t>7.06.16</t>
  </si>
  <si>
    <t>7.06.16.1</t>
  </si>
  <si>
    <t>7.06.17</t>
  </si>
  <si>
    <t>7.06.17.1</t>
  </si>
  <si>
    <t>7.06.18</t>
  </si>
  <si>
    <t>7.06.19</t>
  </si>
  <si>
    <t>7.06.21</t>
  </si>
  <si>
    <t>7.06.22</t>
  </si>
  <si>
    <t>7.06.23</t>
  </si>
  <si>
    <t>7.06.23.1</t>
  </si>
  <si>
    <t>7.06.24</t>
  </si>
  <si>
    <t>7.06.24.1</t>
  </si>
  <si>
    <t>7.06.25</t>
  </si>
  <si>
    <t>7.06.26</t>
  </si>
  <si>
    <t>7.A.10</t>
  </si>
  <si>
    <t>7.06.05a</t>
  </si>
  <si>
    <t>7.07.01</t>
  </si>
  <si>
    <t>7.07.02</t>
  </si>
  <si>
    <t>7.07.03</t>
  </si>
  <si>
    <t>7.07.04</t>
  </si>
  <si>
    <t>7.07.05</t>
  </si>
  <si>
    <t>7.07.06</t>
  </si>
  <si>
    <t>7.07.07</t>
  </si>
  <si>
    <t>7.07.06.1</t>
  </si>
  <si>
    <t>7.07.08</t>
  </si>
  <si>
    <t>7.07.09</t>
  </si>
  <si>
    <t>7.07.10</t>
  </si>
  <si>
    <t>7.07.11</t>
  </si>
  <si>
    <t>7.07.12</t>
  </si>
  <si>
    <t>7.07.13</t>
  </si>
  <si>
    <t>7.08.01</t>
  </si>
  <si>
    <t>7.08.02</t>
  </si>
  <si>
    <t>7.08.03</t>
  </si>
  <si>
    <t>7.08.04</t>
  </si>
  <si>
    <t>7.08.05</t>
  </si>
  <si>
    <t>7.08.06</t>
  </si>
  <si>
    <t>7.08.07</t>
  </si>
  <si>
    <t>7.08.08</t>
  </si>
  <si>
    <t>7.08.09</t>
  </si>
  <si>
    <t>7.08.00</t>
  </si>
  <si>
    <t>7.08.10</t>
  </si>
  <si>
    <t>7.08.11</t>
  </si>
  <si>
    <t>7.08.12</t>
  </si>
  <si>
    <t>7.08.13</t>
  </si>
  <si>
    <t>7.09.00</t>
  </si>
  <si>
    <t>7.09.01</t>
  </si>
  <si>
    <t>7.09.02</t>
  </si>
  <si>
    <t>7.09.03</t>
  </si>
  <si>
    <t>7.09.04</t>
  </si>
  <si>
    <t>7.09.05</t>
  </si>
  <si>
    <t>7.09.06</t>
  </si>
  <si>
    <t>7.09.07</t>
  </si>
  <si>
    <t>7.09.08</t>
  </si>
  <si>
    <t>7.09.09</t>
  </si>
  <si>
    <t>7.09.13</t>
  </si>
  <si>
    <t>7.09.02.1</t>
  </si>
  <si>
    <t>7.09.14</t>
  </si>
  <si>
    <t>7.08.15</t>
  </si>
  <si>
    <t>7.11.00</t>
  </si>
  <si>
    <t>7.11.01</t>
  </si>
  <si>
    <t>7.11.01.1</t>
  </si>
  <si>
    <t>7.11.02</t>
  </si>
  <si>
    <t>7.11.02.1</t>
  </si>
  <si>
    <t>7.11.03</t>
  </si>
  <si>
    <t>7.11.03.1</t>
  </si>
  <si>
    <t>7.11.04</t>
  </si>
  <si>
    <t>7.11.04.1</t>
  </si>
  <si>
    <t>7.11.05</t>
  </si>
  <si>
    <t>7.11.05.1</t>
  </si>
  <si>
    <t>7.11.06</t>
  </si>
  <si>
    <t>7.11.06.1</t>
  </si>
  <si>
    <t>7.11.07</t>
  </si>
  <si>
    <t>7.11.07.1</t>
  </si>
  <si>
    <t>7.11.08</t>
  </si>
  <si>
    <t>7.11.09</t>
  </si>
  <si>
    <t>7.11.10</t>
  </si>
  <si>
    <t>7.11.08.1</t>
  </si>
  <si>
    <t>7.12.00</t>
  </si>
  <si>
    <t>7.12.01</t>
  </si>
  <si>
    <t>7.12.02</t>
  </si>
  <si>
    <t>7.12.06</t>
  </si>
  <si>
    <t>7.12.07</t>
  </si>
  <si>
    <t>7.12.08</t>
  </si>
  <si>
    <t>7.12.09</t>
  </si>
  <si>
    <t>7.12.14</t>
  </si>
  <si>
    <t>7.12.15</t>
  </si>
  <si>
    <t>7.12.13</t>
  </si>
  <si>
    <t>7.12.10</t>
  </si>
  <si>
    <t>7.12.11</t>
  </si>
  <si>
    <t>7.12.16</t>
  </si>
  <si>
    <t>7.12.17</t>
  </si>
  <si>
    <t>7.12.18</t>
  </si>
  <si>
    <t>7.12.19</t>
  </si>
  <si>
    <t>7.12.20</t>
  </si>
  <si>
    <t>7.12.03</t>
  </si>
  <si>
    <t>7.12.04</t>
  </si>
  <si>
    <t>7.13.00</t>
  </si>
  <si>
    <t>7.13.02</t>
  </si>
  <si>
    <t>7.13.03</t>
  </si>
  <si>
    <t>7.13.04</t>
  </si>
  <si>
    <t>7.13.05</t>
  </si>
  <si>
    <t>7.13.06</t>
  </si>
  <si>
    <t>7.13.07</t>
  </si>
  <si>
    <t>7.13.09</t>
  </si>
  <si>
    <t>7.13.10</t>
  </si>
  <si>
    <t>7.13.01</t>
  </si>
  <si>
    <t>7.13.11</t>
  </si>
  <si>
    <t>7.13.12</t>
  </si>
  <si>
    <t>7.13.13</t>
  </si>
  <si>
    <t>7.13.14</t>
  </si>
  <si>
    <t>7.13.15</t>
  </si>
  <si>
    <t>7.13.16</t>
  </si>
  <si>
    <t>7.13.17</t>
  </si>
  <si>
    <t>7.13.18</t>
  </si>
  <si>
    <t>7.13.19</t>
  </si>
  <si>
    <t>7.13.20</t>
  </si>
  <si>
    <t>Laboratory</t>
  </si>
  <si>
    <t>7.13.19.1</t>
  </si>
  <si>
    <t>7.14.00</t>
  </si>
  <si>
    <t>7.14.14</t>
  </si>
  <si>
    <t>7.14.00a</t>
  </si>
  <si>
    <t>7.14.13</t>
  </si>
  <si>
    <t>7.14.13.1</t>
  </si>
  <si>
    <t>7.14.14.1</t>
  </si>
  <si>
    <t>7.14.15</t>
  </si>
  <si>
    <t>7.14.15.1</t>
  </si>
  <si>
    <t>7.14.16</t>
  </si>
  <si>
    <t>7.14.16.1</t>
  </si>
  <si>
    <t>7.14.27</t>
  </si>
  <si>
    <t>7.14.26</t>
  </si>
  <si>
    <t>7.14.28</t>
  </si>
  <si>
    <t>7.14.29</t>
  </si>
  <si>
    <t>7.14.21</t>
  </si>
  <si>
    <t>7.14.22</t>
  </si>
  <si>
    <t>7.14.23</t>
  </si>
  <si>
    <t>7.14.30</t>
  </si>
  <si>
    <t>7.14.31</t>
  </si>
  <si>
    <t>7.14.32</t>
  </si>
  <si>
    <t>7.14.33</t>
  </si>
  <si>
    <t>7.14.20</t>
  </si>
  <si>
    <t>7.14.24</t>
  </si>
  <si>
    <t>7.14.25</t>
  </si>
  <si>
    <t>7.15.00</t>
  </si>
  <si>
    <t>7.15.01</t>
  </si>
  <si>
    <t>7.15.01.1</t>
  </si>
  <si>
    <t>7.15.02</t>
  </si>
  <si>
    <t>7.15.02.1</t>
  </si>
  <si>
    <t>7.15.03</t>
  </si>
  <si>
    <t>7.15.03.1</t>
  </si>
  <si>
    <t>7.15.04</t>
  </si>
  <si>
    <t>7.15.04.1</t>
  </si>
  <si>
    <t>7.15.05</t>
  </si>
  <si>
    <t>7.15.05.1</t>
  </si>
  <si>
    <t>7.16.05</t>
  </si>
  <si>
    <t>7.15.06</t>
  </si>
  <si>
    <t>7.15.06.1</t>
  </si>
  <si>
    <t>7.15.07</t>
  </si>
  <si>
    <t>7.15.07.1</t>
  </si>
  <si>
    <t>7.15.08</t>
  </si>
  <si>
    <t>7.15.09</t>
  </si>
  <si>
    <t>7.15.10</t>
  </si>
  <si>
    <t>7.15.11</t>
  </si>
  <si>
    <t>7.15.12</t>
  </si>
  <si>
    <t>7.15.13</t>
  </si>
  <si>
    <t>7.15.08.1</t>
  </si>
  <si>
    <t>7.16.00</t>
  </si>
  <si>
    <t>7.16.02</t>
  </si>
  <si>
    <t>7.16.09</t>
  </si>
  <si>
    <t>7.16.10</t>
  </si>
  <si>
    <t>7.16.11</t>
  </si>
  <si>
    <t>7.16.12</t>
  </si>
  <si>
    <t>7.16.13</t>
  </si>
  <si>
    <t>7.16.14</t>
  </si>
  <si>
    <t>7.16.15</t>
  </si>
  <si>
    <t>7.16.16</t>
  </si>
  <si>
    <t>7.16.17</t>
  </si>
  <si>
    <t>7.16.18</t>
  </si>
  <si>
    <t>7.16.03</t>
  </si>
  <si>
    <t>7.16.04</t>
  </si>
  <si>
    <t>7.16.06</t>
  </si>
  <si>
    <t>7.16.07</t>
  </si>
  <si>
    <t>7.16.08</t>
  </si>
  <si>
    <t>Library</t>
  </si>
  <si>
    <t>7.17.00</t>
  </si>
  <si>
    <t>7.17.01</t>
  </si>
  <si>
    <t>7.17.02</t>
  </si>
  <si>
    <t>7.17.03</t>
  </si>
  <si>
    <t>7.17.04</t>
  </si>
  <si>
    <t>7.17.05</t>
  </si>
  <si>
    <t>7.17.06</t>
  </si>
  <si>
    <t>7.17.07</t>
  </si>
  <si>
    <t>7.17.09</t>
  </si>
  <si>
    <t>7.17.10</t>
  </si>
  <si>
    <t>7.17.11</t>
  </si>
  <si>
    <t>7.17.12</t>
  </si>
  <si>
    <t>7.17.13</t>
  </si>
  <si>
    <t>7.17.14</t>
  </si>
  <si>
    <t>7.17.15</t>
  </si>
  <si>
    <t>7.17.16</t>
  </si>
  <si>
    <t>7.18.00</t>
  </si>
  <si>
    <t>7.18.01</t>
  </si>
  <si>
    <t>7.18.01.1</t>
  </si>
  <si>
    <t>7.18.02</t>
  </si>
  <si>
    <t>7.18.02.1</t>
  </si>
  <si>
    <t>7.18.03</t>
  </si>
  <si>
    <t>7.18.03.1</t>
  </si>
  <si>
    <t>7.18.04</t>
  </si>
  <si>
    <t>7.18.04.1</t>
  </si>
  <si>
    <t>7.18.05</t>
  </si>
  <si>
    <t>7.18.05.1</t>
  </si>
  <si>
    <t>7.18.06</t>
  </si>
  <si>
    <t>7.18.06.1</t>
  </si>
  <si>
    <t>7.18.07</t>
  </si>
  <si>
    <t>7.18.07.1</t>
  </si>
  <si>
    <t>7.18.08</t>
  </si>
  <si>
    <t>7.18.08.1</t>
  </si>
  <si>
    <t>7.18.09</t>
  </si>
  <si>
    <t>7.18.10</t>
  </si>
  <si>
    <t>7.18.11</t>
  </si>
  <si>
    <t>7.18.12</t>
  </si>
  <si>
    <t>7.18.13</t>
  </si>
  <si>
    <t>7.18.14</t>
  </si>
  <si>
    <t>7.18.16</t>
  </si>
  <si>
    <t>7.19.01</t>
  </si>
  <si>
    <t>7.19.02</t>
  </si>
  <si>
    <t>7.19.03</t>
  </si>
  <si>
    <t>7.19.04</t>
  </si>
  <si>
    <t>7.19.05</t>
  </si>
  <si>
    <t>7.19.06</t>
  </si>
  <si>
    <t>7.19.07</t>
  </si>
  <si>
    <t>7.19.08</t>
  </si>
  <si>
    <t>7.19.09</t>
  </si>
  <si>
    <t>7.19.10</t>
  </si>
  <si>
    <t>7.19.11</t>
  </si>
  <si>
    <t>7.19.12</t>
  </si>
  <si>
    <t>7.D.01</t>
  </si>
  <si>
    <t>7.D.02</t>
  </si>
  <si>
    <t>7.D.03</t>
  </si>
  <si>
    <t>7.19.00</t>
  </si>
  <si>
    <t>7.19.13</t>
  </si>
  <si>
    <t>7.19.14</t>
  </si>
  <si>
    <t>7.19.15</t>
  </si>
  <si>
    <t>7.19.16</t>
  </si>
  <si>
    <t>7.19.17</t>
  </si>
  <si>
    <t>7.19.18</t>
  </si>
  <si>
    <t>7.19.19</t>
  </si>
  <si>
    <t>7.19.20</t>
  </si>
  <si>
    <t>7.20.07</t>
  </si>
  <si>
    <t>7.20.08</t>
  </si>
  <si>
    <t>7.20.09</t>
  </si>
  <si>
    <t>7.20.10</t>
  </si>
  <si>
    <t>7.20.11</t>
  </si>
  <si>
    <t>7.20.12</t>
  </si>
  <si>
    <t>7.D.04</t>
  </si>
  <si>
    <t>7.D.05</t>
  </si>
  <si>
    <t>7.D.06</t>
  </si>
  <si>
    <t>7.20.00</t>
  </si>
  <si>
    <t>7.20.13</t>
  </si>
  <si>
    <t>7.20.14</t>
  </si>
  <si>
    <t>7.20.15</t>
  </si>
  <si>
    <t>7.20.16</t>
  </si>
  <si>
    <t>7.20.17</t>
  </si>
  <si>
    <t>7.20.18</t>
  </si>
  <si>
    <t>7.20.19</t>
  </si>
  <si>
    <t>7.20.20</t>
  </si>
  <si>
    <t>7.20.01</t>
  </si>
  <si>
    <t>7.20.02</t>
  </si>
  <si>
    <t>7.20.03</t>
  </si>
  <si>
    <t>7.20.03.1</t>
  </si>
  <si>
    <t>7.20.04</t>
  </si>
  <si>
    <t>7.20.05</t>
  </si>
  <si>
    <t>7.20.06</t>
  </si>
  <si>
    <t>7.20.19.1</t>
  </si>
  <si>
    <t>7.21.01</t>
  </si>
  <si>
    <t>7.21.02</t>
  </si>
  <si>
    <t>7.21.02.1</t>
  </si>
  <si>
    <t>7.21.03</t>
  </si>
  <si>
    <t>7.21.03.1</t>
  </si>
  <si>
    <t>7.21.04</t>
  </si>
  <si>
    <t>7.21.04.1</t>
  </si>
  <si>
    <t>7.21.05</t>
  </si>
  <si>
    <t>7.21.05.1</t>
  </si>
  <si>
    <t>7.21.06</t>
  </si>
  <si>
    <t>7.21.07</t>
  </si>
  <si>
    <t>7.21.08</t>
  </si>
  <si>
    <t>7.21.09</t>
  </si>
  <si>
    <t>7.21.09.1</t>
  </si>
  <si>
    <t>7.21.10</t>
  </si>
  <si>
    <t>7.21.10.1</t>
  </si>
  <si>
    <t>7.21.11</t>
  </si>
  <si>
    <t>7.21.11.1</t>
  </si>
  <si>
    <t>7.21.12</t>
  </si>
  <si>
    <t>7.21.12.1</t>
  </si>
  <si>
    <t>7.D.07</t>
  </si>
  <si>
    <t>7.21.13</t>
  </si>
  <si>
    <t>7.21.14</t>
  </si>
  <si>
    <t>7.21.00</t>
  </si>
  <si>
    <t>7.21.15</t>
  </si>
  <si>
    <t>7.21.15.1</t>
  </si>
  <si>
    <t>7.21.16</t>
  </si>
  <si>
    <t>7.21.16.1</t>
  </si>
  <si>
    <t>7.21.17</t>
  </si>
  <si>
    <t>7.21.17.1</t>
  </si>
  <si>
    <t>7.21.18</t>
  </si>
  <si>
    <t>7.21.19</t>
  </si>
  <si>
    <t>7.21.20</t>
  </si>
  <si>
    <t>7.21.21</t>
  </si>
  <si>
    <t>7.21.22</t>
  </si>
  <si>
    <t>7.21.22.1</t>
  </si>
  <si>
    <t>7.21.23</t>
  </si>
  <si>
    <t>7.21.23.1</t>
  </si>
  <si>
    <t>7.21.24</t>
  </si>
  <si>
    <t>7.21.24.1</t>
  </si>
  <si>
    <t>7.21.25</t>
  </si>
  <si>
    <t>7.21.25.1</t>
  </si>
  <si>
    <t>7.21.26</t>
  </si>
  <si>
    <t>7.21.18.1</t>
  </si>
  <si>
    <t>7.22.01</t>
  </si>
  <si>
    <t>7.22.02</t>
  </si>
  <si>
    <t>7.22.02.1</t>
  </si>
  <si>
    <t>7.22.03</t>
  </si>
  <si>
    <t>7.22.03.1</t>
  </si>
  <si>
    <t>7.22.04</t>
  </si>
  <si>
    <t>7.22.04.1</t>
  </si>
  <si>
    <t>7.22.05</t>
  </si>
  <si>
    <t>7.22.05.1</t>
  </si>
  <si>
    <t>7.22.07</t>
  </si>
  <si>
    <t>7.22.08</t>
  </si>
  <si>
    <t>7.22.09</t>
  </si>
  <si>
    <t>7.22.10</t>
  </si>
  <si>
    <t>7.22.11</t>
  </si>
  <si>
    <t>7.22.11.1</t>
  </si>
  <si>
    <t>7.D.08</t>
  </si>
  <si>
    <t>7.22.13</t>
  </si>
  <si>
    <t>7.22.14</t>
  </si>
  <si>
    <t>7.22.00</t>
  </si>
  <si>
    <t>7.22.15</t>
  </si>
  <si>
    <t>7.22.15.1</t>
  </si>
  <si>
    <t>7.22.16</t>
  </si>
  <si>
    <t>7.22.17</t>
  </si>
  <si>
    <t>7.22.18</t>
  </si>
  <si>
    <t>7.22.19</t>
  </si>
  <si>
    <t>7.22.21</t>
  </si>
  <si>
    <t>7.22.22</t>
  </si>
  <si>
    <t>7.22.22.1</t>
  </si>
  <si>
    <t>7.22.23</t>
  </si>
  <si>
    <t>7.22.23.1</t>
  </si>
  <si>
    <t>7.22.24</t>
  </si>
  <si>
    <t>7.22.24.1</t>
  </si>
  <si>
    <t>7.22.25</t>
  </si>
  <si>
    <t>7.22.25.1</t>
  </si>
  <si>
    <t>7.22.26</t>
  </si>
  <si>
    <t>7.22.06</t>
  </si>
  <si>
    <t>7.22.06.1</t>
  </si>
  <si>
    <t>7.22.07.1</t>
  </si>
  <si>
    <t>7.22.21.1</t>
  </si>
  <si>
    <t>7.23.01</t>
  </si>
  <si>
    <t>7.23.02</t>
  </si>
  <si>
    <t>7.23.02.1</t>
  </si>
  <si>
    <t>7.23.03</t>
  </si>
  <si>
    <t>7.23.03.1</t>
  </si>
  <si>
    <t>7.23.04</t>
  </si>
  <si>
    <t>7.23.04.1</t>
  </si>
  <si>
    <t>7.23.05</t>
  </si>
  <si>
    <t>7.23.05.1</t>
  </si>
  <si>
    <t>7.23.06</t>
  </si>
  <si>
    <t>7.23.07</t>
  </si>
  <si>
    <t>7.23.08</t>
  </si>
  <si>
    <t>7.23.09</t>
  </si>
  <si>
    <t>7.23.10</t>
  </si>
  <si>
    <t>7.23.11</t>
  </si>
  <si>
    <t>7.23.11.1</t>
  </si>
  <si>
    <t>7.D.09</t>
  </si>
  <si>
    <t>7.23.13</t>
  </si>
  <si>
    <t>7.23.14</t>
  </si>
  <si>
    <t>7.23.00</t>
  </si>
  <si>
    <t>7.23.15</t>
  </si>
  <si>
    <t>7.23.15.1</t>
  </si>
  <si>
    <t>7.23.16</t>
  </si>
  <si>
    <t>7.23.17</t>
  </si>
  <si>
    <t>7.23.18</t>
  </si>
  <si>
    <t>7.23.19</t>
  </si>
  <si>
    <t>7.23.21</t>
  </si>
  <si>
    <t>7.23.22</t>
  </si>
  <si>
    <t>7.23.22.1</t>
  </si>
  <si>
    <t>7.23.23</t>
  </si>
  <si>
    <t>7.23.23.1</t>
  </si>
  <si>
    <t>7.23.24</t>
  </si>
  <si>
    <t>7.23.24.1</t>
  </si>
  <si>
    <t>7.23.25</t>
  </si>
  <si>
    <t>7.23.25.1</t>
  </si>
  <si>
    <t>7.23.26</t>
  </si>
  <si>
    <t>7.23.06.1</t>
  </si>
  <si>
    <t>7.23.07.1</t>
  </si>
  <si>
    <t>7.23.19.1</t>
  </si>
  <si>
    <t>7.23.21.1</t>
  </si>
  <si>
    <t>7.24.01</t>
  </si>
  <si>
    <t>7.24.02</t>
  </si>
  <si>
    <t>7.24.03</t>
  </si>
  <si>
    <t>7.24.04</t>
  </si>
  <si>
    <t>7.24.05</t>
  </si>
  <si>
    <t>7.24.06</t>
  </si>
  <si>
    <t>7.24.07</t>
  </si>
  <si>
    <t>7.24.08</t>
  </si>
  <si>
    <t>7.24.09</t>
  </si>
  <si>
    <t>7.24.10</t>
  </si>
  <si>
    <t>7.24.11</t>
  </si>
  <si>
    <t>7.D.10</t>
  </si>
  <si>
    <t>7.24.13</t>
  </si>
  <si>
    <t>7.24.14</t>
  </si>
  <si>
    <t>7.24.00</t>
  </si>
  <si>
    <t>7.24.15</t>
  </si>
  <si>
    <t>7.24.16</t>
  </si>
  <si>
    <t>7.24.17</t>
  </si>
  <si>
    <t>7.24.18</t>
  </si>
  <si>
    <t>7.24.19</t>
  </si>
  <si>
    <t>7.24.20</t>
  </si>
  <si>
    <t>7.24.21</t>
  </si>
  <si>
    <t>7.24.22</t>
  </si>
  <si>
    <t>7.24.23</t>
  </si>
  <si>
    <t>7.24.24</t>
  </si>
  <si>
    <t>7.24.25</t>
  </si>
  <si>
    <t>7.24.26</t>
  </si>
  <si>
    <t>7.24.26a</t>
  </si>
  <si>
    <t>7.B.01</t>
  </si>
  <si>
    <t>7.B.02</t>
  </si>
  <si>
    <t>7.B.03</t>
  </si>
  <si>
    <t>7.B.04</t>
  </si>
  <si>
    <t>7.B.05</t>
  </si>
  <si>
    <t>7.B.06</t>
  </si>
  <si>
    <t>7.B.07</t>
  </si>
  <si>
    <t>7.B.08</t>
  </si>
  <si>
    <t>7.B1</t>
  </si>
  <si>
    <t>7.B.10</t>
  </si>
  <si>
    <t>7.B.11</t>
  </si>
  <si>
    <t>7.B.12</t>
  </si>
  <si>
    <t>7.B.13</t>
  </si>
  <si>
    <t>7.B2</t>
  </si>
  <si>
    <t>7.B1.00</t>
  </si>
  <si>
    <t>7.B.08.1</t>
  </si>
  <si>
    <t>7.B.14</t>
  </si>
  <si>
    <t>7.B2.00</t>
  </si>
  <si>
    <t>7.B.09.1</t>
  </si>
  <si>
    <t>7.B.10.1</t>
  </si>
  <si>
    <t>7.B.11.1</t>
  </si>
  <si>
    <t>7.B.31</t>
  </si>
  <si>
    <t>7.B3</t>
  </si>
  <si>
    <t>7.B.12.1</t>
  </si>
  <si>
    <t>7.B.13.2</t>
  </si>
  <si>
    <t>7.B.30</t>
  </si>
  <si>
    <t>7.B4</t>
  </si>
  <si>
    <t>7.B.16</t>
  </si>
  <si>
    <t>7.B.17</t>
  </si>
  <si>
    <t>7.B.18</t>
  </si>
  <si>
    <t>7.B.19</t>
  </si>
  <si>
    <t>7.B.20</t>
  </si>
  <si>
    <t>7.B5</t>
  </si>
  <si>
    <t>7.B.21</t>
  </si>
  <si>
    <t>7.B.22</t>
  </si>
  <si>
    <t>7.B.23</t>
  </si>
  <si>
    <t>7.B.26</t>
  </si>
  <si>
    <t>7.B.25</t>
  </si>
  <si>
    <t>7.B.24</t>
  </si>
  <si>
    <t>7.B6</t>
  </si>
  <si>
    <t>7.B.08.2</t>
  </si>
  <si>
    <t>7.B.08.3</t>
  </si>
  <si>
    <t>7.B.11.2</t>
  </si>
  <si>
    <t>7.B.13.1</t>
  </si>
  <si>
    <t>7.B.11.3</t>
  </si>
  <si>
    <t>7.B.15.1</t>
  </si>
  <si>
    <t>7.B.27</t>
  </si>
  <si>
    <t>7.C1</t>
  </si>
  <si>
    <t>7.C.02</t>
  </si>
  <si>
    <t>7.C.03</t>
  </si>
  <si>
    <t>7.C.04</t>
  </si>
  <si>
    <t>7.C.05</t>
  </si>
  <si>
    <t>7.C.06</t>
  </si>
  <si>
    <t>7.C.07</t>
  </si>
  <si>
    <t>7.C.08</t>
  </si>
  <si>
    <t>7.C.09</t>
  </si>
  <si>
    <t>7.C.10</t>
  </si>
  <si>
    <t>7.C2</t>
  </si>
  <si>
    <t>7.C.13</t>
  </si>
  <si>
    <t>7.C.14</t>
  </si>
  <si>
    <t>7.C.15</t>
  </si>
  <si>
    <t>7.C.16</t>
  </si>
  <si>
    <t>7.C.17</t>
  </si>
  <si>
    <t>7.C.18</t>
  </si>
  <si>
    <t>7.C.19</t>
  </si>
  <si>
    <t>7.C.20</t>
  </si>
  <si>
    <t>7.C.21</t>
  </si>
  <si>
    <t>7.C.22</t>
  </si>
  <si>
    <t>7.C.23</t>
  </si>
  <si>
    <t>7.C1.00</t>
  </si>
  <si>
    <t>7.C.24</t>
  </si>
  <si>
    <t>7.C.18.1</t>
  </si>
  <si>
    <t>7.C2.00</t>
  </si>
  <si>
    <t>7.C.25</t>
  </si>
  <si>
    <t>7.C.19.1</t>
  </si>
  <si>
    <t>7.C.40</t>
  </si>
  <si>
    <t>7.C.39</t>
  </si>
  <si>
    <t>7.C4</t>
  </si>
  <si>
    <t>7.C.21.1</t>
  </si>
  <si>
    <t>7.C5</t>
  </si>
  <si>
    <t>7.C.26</t>
  </si>
  <si>
    <t>7.C.27</t>
  </si>
  <si>
    <t>7.C.28</t>
  </si>
  <si>
    <t>7.C.29</t>
  </si>
  <si>
    <t>7.C.30</t>
  </si>
  <si>
    <t>7.C.38</t>
  </si>
  <si>
    <t>7.C.37</t>
  </si>
  <si>
    <t>7.C.31</t>
  </si>
  <si>
    <t>7.C.32</t>
  </si>
  <si>
    <t>7.C6</t>
  </si>
  <si>
    <t>7.C.33</t>
  </si>
  <si>
    <t>7.C.34</t>
  </si>
  <si>
    <t>7.C.35</t>
  </si>
  <si>
    <t>7.C.07.1</t>
  </si>
  <si>
    <t>7.C.12</t>
  </si>
  <si>
    <t>7.C.21A</t>
  </si>
  <si>
    <t>7.C.14.1</t>
  </si>
  <si>
    <t>7.C.15.1</t>
  </si>
  <si>
    <t>7.C.16.1</t>
  </si>
  <si>
    <t>7.C.17.1</t>
  </si>
  <si>
    <t>7.C.42</t>
  </si>
  <si>
    <t>7.C.41</t>
  </si>
  <si>
    <t>7.C.23.1</t>
  </si>
  <si>
    <t>7.C.23.2</t>
  </si>
  <si>
    <t>7.C.29a</t>
  </si>
  <si>
    <t>7.C.36</t>
  </si>
  <si>
    <t>7.05.01</t>
  </si>
  <si>
    <t>7.05.02</t>
  </si>
  <si>
    <t>7.05.02.1</t>
  </si>
  <si>
    <t>7.05.03</t>
  </si>
  <si>
    <t>7.05.03.1</t>
  </si>
  <si>
    <t>7.05.04</t>
  </si>
  <si>
    <t>7.05.00</t>
  </si>
  <si>
    <t>7.05.05</t>
  </si>
  <si>
    <t>7.05.07</t>
  </si>
  <si>
    <t>7.05.08</t>
  </si>
  <si>
    <t>7.05.08.1</t>
  </si>
  <si>
    <t>7.05.10</t>
  </si>
  <si>
    <t>7.05.10.1</t>
  </si>
  <si>
    <t>7.05.11</t>
  </si>
  <si>
    <t>7.05.11.1</t>
  </si>
  <si>
    <t>7.05.12</t>
  </si>
  <si>
    <t>7.05.12.1</t>
  </si>
  <si>
    <t>7.05.13</t>
  </si>
  <si>
    <t>7.05.14</t>
  </si>
  <si>
    <t>7.05.15</t>
  </si>
  <si>
    <t>7.05.15.1</t>
  </si>
  <si>
    <t>7.05.16</t>
  </si>
  <si>
    <t>7.05.16.1</t>
  </si>
  <si>
    <t>7.05.17</t>
  </si>
  <si>
    <t>7.05.17.1</t>
  </si>
  <si>
    <t>7.05.18</t>
  </si>
  <si>
    <t>7.05.18.1</t>
  </si>
  <si>
    <t>7.05.20</t>
  </si>
  <si>
    <t>7.05.22</t>
  </si>
  <si>
    <t>7.05.22.1</t>
  </si>
  <si>
    <t>7.05.23</t>
  </si>
  <si>
    <t>7.05.23.1</t>
  </si>
  <si>
    <t>7.05.24</t>
  </si>
  <si>
    <t>7.05.24.1</t>
  </si>
  <si>
    <t>7.05.25</t>
  </si>
  <si>
    <t>7.05.26</t>
  </si>
  <si>
    <t>7.05.04.1</t>
  </si>
  <si>
    <t>7.07.00</t>
  </si>
  <si>
    <t>IntensiveCare</t>
  </si>
  <si>
    <t>Schleuse</t>
  </si>
  <si>
    <t>AirLock</t>
  </si>
  <si>
    <t>Intensivstation</t>
  </si>
  <si>
    <t>Operation</t>
  </si>
  <si>
    <t>7.16.19</t>
  </si>
  <si>
    <t>7.C.20.1</t>
  </si>
  <si>
    <t>(Aus Dreisatz über Bilder, scheinbar gültig für Etagen 7,8,9)</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</si>
</sst>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dd/mm/yy;@"/>
  </numFmts>
  <fonts count="6" x14ac:knownFonts="1">
    <font>
      <sz val="11"/>
      <color theme="1"/>
      <name val="Calibri"/>
      <family val="2"/>
      <scheme val="minor"/>
    </font>
    <font>
      <b/>
      <sz val="12"/>
      <color theme="1"/>
      <name val="Calibri"/>
      <family val="2"/>
      <scheme val="minor"/>
    </font>
    <font>
      <b/>
      <sz val="11"/>
      <color theme="1"/>
      <name val="Calibri"/>
      <family val="2"/>
      <scheme val="minor"/>
    </font>
    <font>
      <b/>
      <sz val="16"/>
      <color rgb="FFFF0000"/>
      <name val="Calibri"/>
      <family val="2"/>
      <scheme val="minor"/>
    </font>
    <font>
      <sz val="16"/>
      <color rgb="FFFF0000"/>
      <name val="Calibri"/>
      <family val="2"/>
      <scheme val="minor"/>
    </font>
    <font>
      <sz val="8"/>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C000"/>
        <bgColor indexed="64"/>
      </patternFill>
    </fill>
  </fills>
  <borders count="4">
    <border>
      <left/>
      <right/>
      <top/>
      <bottom/>
      <diagonal/>
    </border>
    <border>
      <left/>
      <right/>
      <top style="medium">
        <color indexed="64"/>
      </top>
      <bottom style="double">
        <color indexed="64"/>
      </bottom>
      <diagonal/>
    </border>
    <border>
      <left style="thin">
        <color indexed="64"/>
      </left>
      <right/>
      <top/>
      <bottom/>
      <diagonal/>
    </border>
    <border>
      <left style="thin">
        <color indexed="64"/>
      </left>
      <right/>
      <top style="medium">
        <color indexed="64"/>
      </top>
      <bottom style="double">
        <color indexed="64"/>
      </bottom>
      <diagonal/>
    </border>
  </borders>
  <cellStyleXfs count="1">
    <xf numFmtId="0" fontId="0" fillId="0" borderId="0"/>
  </cellStyleXfs>
  <cellXfs count="18">
    <xf numFmtId="0" fontId="0" fillId="0" borderId="0" xfId="0"/>
    <xf numFmtId="0" fontId="1" fillId="0" borderId="1" xfId="0" applyFont="1" applyBorder="1"/>
    <xf numFmtId="0" fontId="2" fillId="0" borderId="0" xfId="0" applyFont="1"/>
    <xf numFmtId="0" fontId="1" fillId="0" borderId="3" xfId="0" applyFont="1" applyBorder="1"/>
    <xf numFmtId="0" fontId="0" fillId="0" borderId="2" xfId="0" applyBorder="1"/>
    <xf numFmtId="0" fontId="3" fillId="0" borderId="0" xfId="0" applyFont="1"/>
    <xf numFmtId="0" fontId="4" fillId="0" borderId="0" xfId="0" applyFont="1"/>
    <xf numFmtId="0" fontId="1" fillId="2" borderId="1" xfId="0" applyFont="1" applyFill="1" applyBorder="1"/>
    <xf numFmtId="0" fontId="0" fillId="0" borderId="0" xfId="0" applyBorder="1"/>
    <xf numFmtId="0" fontId="1" fillId="3" borderId="1" xfId="0" applyFont="1" applyFill="1" applyBorder="1"/>
    <xf numFmtId="0" fontId="1" fillId="0" borderId="0" xfId="0" applyFont="1" applyBorder="1"/>
    <xf numFmtId="14" fontId="2" fillId="0" borderId="0" xfId="0" applyNumberFormat="1" applyFont="1"/>
    <xf numFmtId="0" fontId="0" fillId="0" borderId="0" xfId="0" applyAlignment="1">
      <alignment vertical="top" wrapText="1"/>
    </xf>
    <xf numFmtId="0" fontId="0" fillId="0" borderId="0" xfId="0" applyNumberFormat="1"/>
    <xf numFmtId="0" fontId="0" fillId="0" borderId="0" xfId="0" applyNumberFormat="1" applyProtection="1">
      <protection locked="0"/>
    </xf>
    <xf numFmtId="164" fontId="0" fillId="0" borderId="0" xfId="0" quotePrefix="1" applyNumberFormat="1" applyProtection="1">
      <protection locked="0"/>
    </xf>
    <xf numFmtId="49" fontId="0" fillId="0" borderId="0" xfId="0" quotePrefix="1" applyNumberFormat="1" applyProtection="1">
      <protection locked="0"/>
    </xf>
    <xf numFmtId="14" fontId="0" fillId="0" borderId="0" xfId="0" applyNumberFormat="1"/>
  </cellXfs>
  <cellStyles count="1">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oneCell">
    <xdr:from>
      <xdr:col>2</xdr:col>
      <xdr:colOff>238125</xdr:colOff>
      <xdr:row>0</xdr:row>
      <xdr:rowOff>76200</xdr:rowOff>
    </xdr:from>
    <xdr:to>
      <xdr:col>9</xdr:col>
      <xdr:colOff>458974</xdr:colOff>
      <xdr:row>36</xdr:row>
      <xdr:rowOff>23787</xdr:rowOff>
    </xdr:to>
    <xdr:pic>
      <xdr:nvPicPr>
        <xdr:cNvPr id="2" name="Grafik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419850" y="76200"/>
          <a:ext cx="5554849" cy="74151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0B00-000002000000}"/>
            </a:ext>
          </a:extLst>
        </xdr:cNvPr>
        <xdr:cNvSpPr txBox="1"/>
      </xdr:nvSpPr>
      <xdr:spPr>
        <a:xfrm>
          <a:off x="39856522"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3" name="Textfeld 2">
          <a:extLst>
            <a:ext uri="{FF2B5EF4-FFF2-40B4-BE49-F238E27FC236}">
              <a16:creationId xmlns:a16="http://schemas.microsoft.com/office/drawing/2014/main" id="{00000000-0008-0000-0B00-000003000000}"/>
            </a:ext>
          </a:extLst>
        </xdr:cNvPr>
        <xdr:cNvSpPr txBox="1"/>
      </xdr:nvSpPr>
      <xdr:spPr>
        <a:xfrm>
          <a:off x="39856522"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1.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0C00-000002000000}"/>
            </a:ext>
          </a:extLst>
        </xdr:cNvPr>
        <xdr:cNvSpPr txBox="1"/>
      </xdr:nvSpPr>
      <xdr:spPr>
        <a:xfrm>
          <a:off x="39856522"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00000000-0008-0000-0C00-000003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2.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0D00-000002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00000000-0008-0000-0D00-000003000000}"/>
            </a:ext>
          </a:extLst>
        </xdr:cNvPr>
        <xdr:cNvSpPr txBox="1"/>
      </xdr:nvSpPr>
      <xdr:spPr>
        <a:xfrm>
          <a:off x="39856522" y="2314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3.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E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E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4.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F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F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5.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0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0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6.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1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1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7.xml><?xml version="1.0" encoding="utf-8"?>
<xdr:wsDr xmlns:xdr="http://schemas.openxmlformats.org/drawingml/2006/spreadsheetDrawing" xmlns:a="http://schemas.openxmlformats.org/drawingml/2006/main">
  <xdr:oneCellAnchor>
    <xdr:from>
      <xdr:col>34</xdr:col>
      <xdr:colOff>699247</xdr:colOff>
      <xdr:row>6</xdr:row>
      <xdr:rowOff>0</xdr:rowOff>
    </xdr:from>
    <xdr:ext cx="2286000" cy="264560"/>
    <xdr:sp macro="" textlink="">
      <xdr:nvSpPr>
        <xdr:cNvPr id="2" name="Textfeld 1">
          <a:extLst>
            <a:ext uri="{FF2B5EF4-FFF2-40B4-BE49-F238E27FC236}">
              <a16:creationId xmlns:a16="http://schemas.microsoft.com/office/drawing/2014/main" id="{00000000-0008-0000-12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8</xdr:row>
      <xdr:rowOff>0</xdr:rowOff>
    </xdr:from>
    <xdr:ext cx="2286000" cy="264560"/>
    <xdr:sp macro="" textlink="">
      <xdr:nvSpPr>
        <xdr:cNvPr id="3" name="Textfeld 2">
          <a:extLst>
            <a:ext uri="{FF2B5EF4-FFF2-40B4-BE49-F238E27FC236}">
              <a16:creationId xmlns:a16="http://schemas.microsoft.com/office/drawing/2014/main" id="{00000000-0008-0000-12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8.xml><?xml version="1.0" encoding="utf-8"?>
<xdr:wsDr xmlns:xdr="http://schemas.openxmlformats.org/drawingml/2006/spreadsheetDrawing" xmlns:a="http://schemas.openxmlformats.org/drawingml/2006/main">
  <xdr:oneCellAnchor>
    <xdr:from>
      <xdr:col>34</xdr:col>
      <xdr:colOff>699247</xdr:colOff>
      <xdr:row>6</xdr:row>
      <xdr:rowOff>0</xdr:rowOff>
    </xdr:from>
    <xdr:ext cx="2286000" cy="264560"/>
    <xdr:sp macro="" textlink="">
      <xdr:nvSpPr>
        <xdr:cNvPr id="2" name="Textfeld 1">
          <a:extLst>
            <a:ext uri="{FF2B5EF4-FFF2-40B4-BE49-F238E27FC236}">
              <a16:creationId xmlns:a16="http://schemas.microsoft.com/office/drawing/2014/main" id="{00000000-0008-0000-13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8</xdr:row>
      <xdr:rowOff>0</xdr:rowOff>
    </xdr:from>
    <xdr:ext cx="2286000" cy="264560"/>
    <xdr:sp macro="" textlink="">
      <xdr:nvSpPr>
        <xdr:cNvPr id="3" name="Textfeld 2">
          <a:extLst>
            <a:ext uri="{FF2B5EF4-FFF2-40B4-BE49-F238E27FC236}">
              <a16:creationId xmlns:a16="http://schemas.microsoft.com/office/drawing/2014/main" id="{00000000-0008-0000-13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9.xml><?xml version="1.0" encoding="utf-8"?>
<xdr:wsDr xmlns:xdr="http://schemas.openxmlformats.org/drawingml/2006/spreadsheetDrawing" xmlns:a="http://schemas.openxmlformats.org/drawingml/2006/main">
  <xdr:oneCellAnchor>
    <xdr:from>
      <xdr:col>34</xdr:col>
      <xdr:colOff>699247</xdr:colOff>
      <xdr:row>7</xdr:row>
      <xdr:rowOff>0</xdr:rowOff>
    </xdr:from>
    <xdr:ext cx="2286000" cy="264560"/>
    <xdr:sp macro="" textlink="">
      <xdr:nvSpPr>
        <xdr:cNvPr id="2" name="Textfeld 1">
          <a:extLst>
            <a:ext uri="{FF2B5EF4-FFF2-40B4-BE49-F238E27FC236}">
              <a16:creationId xmlns:a16="http://schemas.microsoft.com/office/drawing/2014/main" id="{00000000-0008-0000-14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00000000-0008-0000-14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12</xdr:row>
      <xdr:rowOff>0</xdr:rowOff>
    </xdr:from>
    <xdr:ext cx="2286000" cy="264560"/>
    <xdr:sp macro="" textlink="">
      <xdr:nvSpPr>
        <xdr:cNvPr id="4" name="Textfeld 3">
          <a:extLst>
            <a:ext uri="{FF2B5EF4-FFF2-40B4-BE49-F238E27FC236}">
              <a16:creationId xmlns:a16="http://schemas.microsoft.com/office/drawing/2014/main" id="{00000000-0008-0000-1400-000004000000}"/>
            </a:ext>
          </a:extLst>
        </xdr:cNvPr>
        <xdr:cNvSpPr txBox="1"/>
      </xdr:nvSpPr>
      <xdr:spPr>
        <a:xfrm>
          <a:off x="40075597"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0</xdr:col>
      <xdr:colOff>78441</xdr:colOff>
      <xdr:row>0</xdr:row>
      <xdr:rowOff>112058</xdr:rowOff>
    </xdr:from>
    <xdr:to>
      <xdr:col>16</xdr:col>
      <xdr:colOff>276917</xdr:colOff>
      <xdr:row>34</xdr:row>
      <xdr:rowOff>78176</xdr:rowOff>
    </xdr:to>
    <xdr:pic>
      <xdr:nvPicPr>
        <xdr:cNvPr id="2" name="Grafik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8441" y="112058"/>
          <a:ext cx="12390476" cy="6595518"/>
        </a:xfrm>
        <a:prstGeom prst="rect">
          <a:avLst/>
        </a:prstGeom>
        <a:ln>
          <a:solidFill>
            <a:sysClr val="windowText" lastClr="000000"/>
          </a:solidFill>
        </a:ln>
      </xdr:spPr>
    </xdr:pic>
    <xdr:clientData/>
  </xdr:twoCellAnchor>
  <xdr:twoCellAnchor>
    <xdr:from>
      <xdr:col>8</xdr:col>
      <xdr:colOff>268940</xdr:colOff>
      <xdr:row>1</xdr:row>
      <xdr:rowOff>0</xdr:rowOff>
    </xdr:from>
    <xdr:to>
      <xdr:col>9</xdr:col>
      <xdr:colOff>11205</xdr:colOff>
      <xdr:row>2</xdr:row>
      <xdr:rowOff>120996</xdr:rowOff>
    </xdr:to>
    <xdr:sp macro="" textlink="">
      <xdr:nvSpPr>
        <xdr:cNvPr id="4" name="Textfeld 3">
          <a:extLst>
            <a:ext uri="{FF2B5EF4-FFF2-40B4-BE49-F238E27FC236}">
              <a16:creationId xmlns:a16="http://schemas.microsoft.com/office/drawing/2014/main" id="{00000000-0008-0000-0200-000004000000}"/>
            </a:ext>
          </a:extLst>
        </xdr:cNvPr>
        <xdr:cNvSpPr txBox="1"/>
      </xdr:nvSpPr>
      <xdr:spPr>
        <a:xfrm>
          <a:off x="6364940" y="190500"/>
          <a:ext cx="504265"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N/0°</a:t>
          </a:r>
        </a:p>
      </xdr:txBody>
    </xdr:sp>
    <xdr:clientData/>
  </xdr:twoCellAnchor>
  <xdr:twoCellAnchor>
    <xdr:from>
      <xdr:col>15</xdr:col>
      <xdr:colOff>448234</xdr:colOff>
      <xdr:row>18</xdr:row>
      <xdr:rowOff>22412</xdr:rowOff>
    </xdr:from>
    <xdr:to>
      <xdr:col>16</xdr:col>
      <xdr:colOff>224117</xdr:colOff>
      <xdr:row>19</xdr:row>
      <xdr:rowOff>64967</xdr:rowOff>
    </xdr:to>
    <xdr:sp macro="" textlink="">
      <xdr:nvSpPr>
        <xdr:cNvPr id="5" name="Textfeld 4">
          <a:extLst>
            <a:ext uri="{FF2B5EF4-FFF2-40B4-BE49-F238E27FC236}">
              <a16:creationId xmlns:a16="http://schemas.microsoft.com/office/drawing/2014/main" id="{00000000-0008-0000-0200-000005000000}"/>
            </a:ext>
          </a:extLst>
        </xdr:cNvPr>
        <xdr:cNvSpPr txBox="1"/>
      </xdr:nvSpPr>
      <xdr:spPr>
        <a:xfrm>
          <a:off x="11878234" y="3451412"/>
          <a:ext cx="537883"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E/90°</a:t>
          </a:r>
        </a:p>
      </xdr:txBody>
    </xdr:sp>
    <xdr:clientData/>
  </xdr:twoCellAnchor>
  <xdr:twoCellAnchor>
    <xdr:from>
      <xdr:col>8</xdr:col>
      <xdr:colOff>56030</xdr:colOff>
      <xdr:row>33</xdr:row>
      <xdr:rowOff>22413</xdr:rowOff>
    </xdr:from>
    <xdr:to>
      <xdr:col>8</xdr:col>
      <xdr:colOff>739588</xdr:colOff>
      <xdr:row>34</xdr:row>
      <xdr:rowOff>143409</xdr:rowOff>
    </xdr:to>
    <xdr:sp macro="" textlink="">
      <xdr:nvSpPr>
        <xdr:cNvPr id="6" name="Textfeld 5">
          <a:extLst>
            <a:ext uri="{FF2B5EF4-FFF2-40B4-BE49-F238E27FC236}">
              <a16:creationId xmlns:a16="http://schemas.microsoft.com/office/drawing/2014/main" id="{00000000-0008-0000-0200-000006000000}"/>
            </a:ext>
          </a:extLst>
        </xdr:cNvPr>
        <xdr:cNvSpPr txBox="1"/>
      </xdr:nvSpPr>
      <xdr:spPr>
        <a:xfrm>
          <a:off x="6152030" y="6465795"/>
          <a:ext cx="683558"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S/180°</a:t>
          </a:r>
        </a:p>
      </xdr:txBody>
    </xdr:sp>
    <xdr:clientData/>
  </xdr:twoCellAnchor>
  <xdr:twoCellAnchor>
    <xdr:from>
      <xdr:col>0</xdr:col>
      <xdr:colOff>78442</xdr:colOff>
      <xdr:row>17</xdr:row>
      <xdr:rowOff>100854</xdr:rowOff>
    </xdr:from>
    <xdr:to>
      <xdr:col>0</xdr:col>
      <xdr:colOff>750794</xdr:colOff>
      <xdr:row>18</xdr:row>
      <xdr:rowOff>221850</xdr:rowOff>
    </xdr:to>
    <xdr:sp macro="" textlink="">
      <xdr:nvSpPr>
        <xdr:cNvPr id="7" name="Textfeld 6">
          <a:extLst>
            <a:ext uri="{FF2B5EF4-FFF2-40B4-BE49-F238E27FC236}">
              <a16:creationId xmlns:a16="http://schemas.microsoft.com/office/drawing/2014/main" id="{00000000-0008-0000-0200-000007000000}"/>
            </a:ext>
          </a:extLst>
        </xdr:cNvPr>
        <xdr:cNvSpPr txBox="1"/>
      </xdr:nvSpPr>
      <xdr:spPr>
        <a:xfrm>
          <a:off x="78442" y="3339354"/>
          <a:ext cx="672352"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W/270°</a:t>
          </a:r>
        </a:p>
      </xdr:txBody>
    </xdr:sp>
    <xdr:clientData/>
  </xdr:twoCellAnchor>
  <xdr:twoCellAnchor>
    <xdr:from>
      <xdr:col>0</xdr:col>
      <xdr:colOff>280147</xdr:colOff>
      <xdr:row>22</xdr:row>
      <xdr:rowOff>33617</xdr:rowOff>
    </xdr:from>
    <xdr:to>
      <xdr:col>1</xdr:col>
      <xdr:colOff>448235</xdr:colOff>
      <xdr:row>32</xdr:row>
      <xdr:rowOff>168087</xdr:rowOff>
    </xdr:to>
    <xdr:sp macro="" textlink="">
      <xdr:nvSpPr>
        <xdr:cNvPr id="8" name="Rechteck 7">
          <a:extLst>
            <a:ext uri="{FF2B5EF4-FFF2-40B4-BE49-F238E27FC236}">
              <a16:creationId xmlns:a16="http://schemas.microsoft.com/office/drawing/2014/main" id="{00000000-0008-0000-0200-000008000000}"/>
            </a:ext>
          </a:extLst>
        </xdr:cNvPr>
        <xdr:cNvSpPr/>
      </xdr:nvSpPr>
      <xdr:spPr>
        <a:xfrm>
          <a:off x="280147" y="4303058"/>
          <a:ext cx="930088" cy="2117911"/>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728383</xdr:colOff>
      <xdr:row>22</xdr:row>
      <xdr:rowOff>56030</xdr:rowOff>
    </xdr:from>
    <xdr:to>
      <xdr:col>4</xdr:col>
      <xdr:colOff>134471</xdr:colOff>
      <xdr:row>33</xdr:row>
      <xdr:rowOff>11205</xdr:rowOff>
    </xdr:to>
    <xdr:sp macro="" textlink="">
      <xdr:nvSpPr>
        <xdr:cNvPr id="9" name="Rechteck 8">
          <a:extLst>
            <a:ext uri="{FF2B5EF4-FFF2-40B4-BE49-F238E27FC236}">
              <a16:creationId xmlns:a16="http://schemas.microsoft.com/office/drawing/2014/main" id="{00000000-0008-0000-0200-000009000000}"/>
            </a:ext>
          </a:extLst>
        </xdr:cNvPr>
        <xdr:cNvSpPr/>
      </xdr:nvSpPr>
      <xdr:spPr>
        <a:xfrm>
          <a:off x="2252383" y="4325471"/>
          <a:ext cx="930088" cy="2129116"/>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5</xdr:col>
      <xdr:colOff>414618</xdr:colOff>
      <xdr:row>22</xdr:row>
      <xdr:rowOff>44823</xdr:rowOff>
    </xdr:from>
    <xdr:to>
      <xdr:col>6</xdr:col>
      <xdr:colOff>582706</xdr:colOff>
      <xdr:row>32</xdr:row>
      <xdr:rowOff>168087</xdr:rowOff>
    </xdr:to>
    <xdr:sp macro="" textlink="">
      <xdr:nvSpPr>
        <xdr:cNvPr id="10" name="Rechteck 9">
          <a:extLst>
            <a:ext uri="{FF2B5EF4-FFF2-40B4-BE49-F238E27FC236}">
              <a16:creationId xmlns:a16="http://schemas.microsoft.com/office/drawing/2014/main" id="{00000000-0008-0000-0200-00000A000000}"/>
            </a:ext>
          </a:extLst>
        </xdr:cNvPr>
        <xdr:cNvSpPr/>
      </xdr:nvSpPr>
      <xdr:spPr>
        <a:xfrm>
          <a:off x="4224618" y="4314264"/>
          <a:ext cx="930088" cy="2106705"/>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112059</xdr:colOff>
      <xdr:row>22</xdr:row>
      <xdr:rowOff>33617</xdr:rowOff>
    </xdr:from>
    <xdr:to>
      <xdr:col>9</xdr:col>
      <xdr:colOff>280147</xdr:colOff>
      <xdr:row>32</xdr:row>
      <xdr:rowOff>168087</xdr:rowOff>
    </xdr:to>
    <xdr:sp macro="" textlink="">
      <xdr:nvSpPr>
        <xdr:cNvPr id="11" name="Rechteck 10">
          <a:extLst>
            <a:ext uri="{FF2B5EF4-FFF2-40B4-BE49-F238E27FC236}">
              <a16:creationId xmlns:a16="http://schemas.microsoft.com/office/drawing/2014/main" id="{00000000-0008-0000-0200-00000B000000}"/>
            </a:ext>
          </a:extLst>
        </xdr:cNvPr>
        <xdr:cNvSpPr/>
      </xdr:nvSpPr>
      <xdr:spPr>
        <a:xfrm>
          <a:off x="6208059" y="4303058"/>
          <a:ext cx="930088" cy="2117911"/>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10</xdr:col>
      <xdr:colOff>593912</xdr:colOff>
      <xdr:row>22</xdr:row>
      <xdr:rowOff>67235</xdr:rowOff>
    </xdr:from>
    <xdr:to>
      <xdr:col>12</xdr:col>
      <xdr:colOff>0</xdr:colOff>
      <xdr:row>32</xdr:row>
      <xdr:rowOff>179293</xdr:rowOff>
    </xdr:to>
    <xdr:sp macro="" textlink="">
      <xdr:nvSpPr>
        <xdr:cNvPr id="12" name="Rechteck 11">
          <a:extLst>
            <a:ext uri="{FF2B5EF4-FFF2-40B4-BE49-F238E27FC236}">
              <a16:creationId xmlns:a16="http://schemas.microsoft.com/office/drawing/2014/main" id="{00000000-0008-0000-0200-00000C000000}"/>
            </a:ext>
          </a:extLst>
        </xdr:cNvPr>
        <xdr:cNvSpPr/>
      </xdr:nvSpPr>
      <xdr:spPr>
        <a:xfrm>
          <a:off x="8213912" y="4336676"/>
          <a:ext cx="930088" cy="2095499"/>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268942</xdr:colOff>
      <xdr:row>22</xdr:row>
      <xdr:rowOff>56029</xdr:rowOff>
    </xdr:from>
    <xdr:to>
      <xdr:col>14</xdr:col>
      <xdr:colOff>437030</xdr:colOff>
      <xdr:row>33</xdr:row>
      <xdr:rowOff>11205</xdr:rowOff>
    </xdr:to>
    <xdr:sp macro="" textlink="">
      <xdr:nvSpPr>
        <xdr:cNvPr id="13" name="Rechteck 12">
          <a:extLst>
            <a:ext uri="{FF2B5EF4-FFF2-40B4-BE49-F238E27FC236}">
              <a16:creationId xmlns:a16="http://schemas.microsoft.com/office/drawing/2014/main" id="{00000000-0008-0000-0200-00000D000000}"/>
            </a:ext>
          </a:extLst>
        </xdr:cNvPr>
        <xdr:cNvSpPr/>
      </xdr:nvSpPr>
      <xdr:spPr>
        <a:xfrm>
          <a:off x="10174942" y="4325470"/>
          <a:ext cx="930088" cy="2129117"/>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xdr:col>
      <xdr:colOff>78441</xdr:colOff>
      <xdr:row>14</xdr:row>
      <xdr:rowOff>168088</xdr:rowOff>
    </xdr:from>
    <xdr:to>
      <xdr:col>2</xdr:col>
      <xdr:colOff>100852</xdr:colOff>
      <xdr:row>21</xdr:row>
      <xdr:rowOff>56028</xdr:rowOff>
    </xdr:to>
    <xdr:sp macro="" textlink="">
      <xdr:nvSpPr>
        <xdr:cNvPr id="14" name="Rechteck 13">
          <a:extLst>
            <a:ext uri="{FF2B5EF4-FFF2-40B4-BE49-F238E27FC236}">
              <a16:creationId xmlns:a16="http://schemas.microsoft.com/office/drawing/2014/main" id="{00000000-0008-0000-0200-00000E000000}"/>
            </a:ext>
          </a:extLst>
        </xdr:cNvPr>
        <xdr:cNvSpPr/>
      </xdr:nvSpPr>
      <xdr:spPr>
        <a:xfrm>
          <a:off x="840441" y="2835088"/>
          <a:ext cx="784411"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750794</xdr:colOff>
      <xdr:row>14</xdr:row>
      <xdr:rowOff>179293</xdr:rowOff>
    </xdr:from>
    <xdr:to>
      <xdr:col>4</xdr:col>
      <xdr:colOff>638735</xdr:colOff>
      <xdr:row>21</xdr:row>
      <xdr:rowOff>67233</xdr:rowOff>
    </xdr:to>
    <xdr:sp macro="" textlink="">
      <xdr:nvSpPr>
        <xdr:cNvPr id="16" name="Rechteck 15">
          <a:extLst>
            <a:ext uri="{FF2B5EF4-FFF2-40B4-BE49-F238E27FC236}">
              <a16:creationId xmlns:a16="http://schemas.microsoft.com/office/drawing/2014/main" id="{00000000-0008-0000-0200-000010000000}"/>
            </a:ext>
          </a:extLst>
        </xdr:cNvPr>
        <xdr:cNvSpPr/>
      </xdr:nvSpPr>
      <xdr:spPr>
        <a:xfrm>
          <a:off x="3036794" y="2846293"/>
          <a:ext cx="649941"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7</xdr:col>
      <xdr:colOff>56028</xdr:colOff>
      <xdr:row>14</xdr:row>
      <xdr:rowOff>179293</xdr:rowOff>
    </xdr:from>
    <xdr:to>
      <xdr:col>8</xdr:col>
      <xdr:colOff>100853</xdr:colOff>
      <xdr:row>21</xdr:row>
      <xdr:rowOff>67233</xdr:rowOff>
    </xdr:to>
    <xdr:sp macro="" textlink="">
      <xdr:nvSpPr>
        <xdr:cNvPr id="17" name="Rechteck 16">
          <a:extLst>
            <a:ext uri="{FF2B5EF4-FFF2-40B4-BE49-F238E27FC236}">
              <a16:creationId xmlns:a16="http://schemas.microsoft.com/office/drawing/2014/main" id="{00000000-0008-0000-0200-000011000000}"/>
            </a:ext>
          </a:extLst>
        </xdr:cNvPr>
        <xdr:cNvSpPr/>
      </xdr:nvSpPr>
      <xdr:spPr>
        <a:xfrm>
          <a:off x="5390028" y="2846293"/>
          <a:ext cx="806825"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11</xdr:col>
      <xdr:colOff>324970</xdr:colOff>
      <xdr:row>14</xdr:row>
      <xdr:rowOff>179294</xdr:rowOff>
    </xdr:from>
    <xdr:to>
      <xdr:col>12</xdr:col>
      <xdr:colOff>336177</xdr:colOff>
      <xdr:row>21</xdr:row>
      <xdr:rowOff>67234</xdr:rowOff>
    </xdr:to>
    <xdr:sp macro="" textlink="">
      <xdr:nvSpPr>
        <xdr:cNvPr id="18" name="Rechteck 17">
          <a:extLst>
            <a:ext uri="{FF2B5EF4-FFF2-40B4-BE49-F238E27FC236}">
              <a16:creationId xmlns:a16="http://schemas.microsoft.com/office/drawing/2014/main" id="{00000000-0008-0000-0200-000012000000}"/>
            </a:ext>
          </a:extLst>
        </xdr:cNvPr>
        <xdr:cNvSpPr/>
      </xdr:nvSpPr>
      <xdr:spPr>
        <a:xfrm>
          <a:off x="8706970" y="2846294"/>
          <a:ext cx="773207"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xdr:col>
      <xdr:colOff>549088</xdr:colOff>
      <xdr:row>2</xdr:row>
      <xdr:rowOff>156883</xdr:rowOff>
    </xdr:from>
    <xdr:to>
      <xdr:col>2</xdr:col>
      <xdr:colOff>683558</xdr:colOff>
      <xdr:row>14</xdr:row>
      <xdr:rowOff>11205</xdr:rowOff>
    </xdr:to>
    <xdr:sp macro="" textlink="">
      <xdr:nvSpPr>
        <xdr:cNvPr id="19" name="Rechteck 18">
          <a:extLst>
            <a:ext uri="{FF2B5EF4-FFF2-40B4-BE49-F238E27FC236}">
              <a16:creationId xmlns:a16="http://schemas.microsoft.com/office/drawing/2014/main" id="{00000000-0008-0000-0200-000013000000}"/>
            </a:ext>
          </a:extLst>
        </xdr:cNvPr>
        <xdr:cNvSpPr/>
      </xdr:nvSpPr>
      <xdr:spPr>
        <a:xfrm>
          <a:off x="1311088" y="537883"/>
          <a:ext cx="896470" cy="2140322"/>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257735</xdr:colOff>
      <xdr:row>2</xdr:row>
      <xdr:rowOff>168089</xdr:rowOff>
    </xdr:from>
    <xdr:to>
      <xdr:col>5</xdr:col>
      <xdr:colOff>392205</xdr:colOff>
      <xdr:row>14</xdr:row>
      <xdr:rowOff>22411</xdr:rowOff>
    </xdr:to>
    <xdr:sp macro="" textlink="">
      <xdr:nvSpPr>
        <xdr:cNvPr id="20" name="Rechteck 19">
          <a:extLst>
            <a:ext uri="{FF2B5EF4-FFF2-40B4-BE49-F238E27FC236}">
              <a16:creationId xmlns:a16="http://schemas.microsoft.com/office/drawing/2014/main" id="{00000000-0008-0000-0200-000014000000}"/>
            </a:ext>
          </a:extLst>
        </xdr:cNvPr>
        <xdr:cNvSpPr/>
      </xdr:nvSpPr>
      <xdr:spPr>
        <a:xfrm>
          <a:off x="3305735" y="549089"/>
          <a:ext cx="896470" cy="2140322"/>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683558</xdr:colOff>
      <xdr:row>2</xdr:row>
      <xdr:rowOff>156883</xdr:rowOff>
    </xdr:from>
    <xdr:to>
      <xdr:col>8</xdr:col>
      <xdr:colOff>56028</xdr:colOff>
      <xdr:row>13</xdr:row>
      <xdr:rowOff>179292</xdr:rowOff>
    </xdr:to>
    <xdr:sp macro="" textlink="">
      <xdr:nvSpPr>
        <xdr:cNvPr id="21" name="Rechteck 20">
          <a:extLst>
            <a:ext uri="{FF2B5EF4-FFF2-40B4-BE49-F238E27FC236}">
              <a16:creationId xmlns:a16="http://schemas.microsoft.com/office/drawing/2014/main" id="{00000000-0008-0000-0200-000015000000}"/>
            </a:ext>
          </a:extLst>
        </xdr:cNvPr>
        <xdr:cNvSpPr/>
      </xdr:nvSpPr>
      <xdr:spPr>
        <a:xfrm>
          <a:off x="5255558" y="537883"/>
          <a:ext cx="896470" cy="2117909"/>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369794</xdr:colOff>
      <xdr:row>2</xdr:row>
      <xdr:rowOff>156883</xdr:rowOff>
    </xdr:from>
    <xdr:to>
      <xdr:col>10</xdr:col>
      <xdr:colOff>504264</xdr:colOff>
      <xdr:row>13</xdr:row>
      <xdr:rowOff>179292</xdr:rowOff>
    </xdr:to>
    <xdr:sp macro="" textlink="">
      <xdr:nvSpPr>
        <xdr:cNvPr id="22" name="Rechteck 21">
          <a:extLst>
            <a:ext uri="{FF2B5EF4-FFF2-40B4-BE49-F238E27FC236}">
              <a16:creationId xmlns:a16="http://schemas.microsoft.com/office/drawing/2014/main" id="{00000000-0008-0000-0200-000016000000}"/>
            </a:ext>
          </a:extLst>
        </xdr:cNvPr>
        <xdr:cNvSpPr/>
      </xdr:nvSpPr>
      <xdr:spPr>
        <a:xfrm>
          <a:off x="7227794" y="537883"/>
          <a:ext cx="896470" cy="2117909"/>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22411</xdr:colOff>
      <xdr:row>2</xdr:row>
      <xdr:rowOff>156883</xdr:rowOff>
    </xdr:from>
    <xdr:to>
      <xdr:col>13</xdr:col>
      <xdr:colOff>156881</xdr:colOff>
      <xdr:row>13</xdr:row>
      <xdr:rowOff>190498</xdr:rowOff>
    </xdr:to>
    <xdr:sp macro="" textlink="">
      <xdr:nvSpPr>
        <xdr:cNvPr id="23" name="Rechteck 22">
          <a:extLst>
            <a:ext uri="{FF2B5EF4-FFF2-40B4-BE49-F238E27FC236}">
              <a16:creationId xmlns:a16="http://schemas.microsoft.com/office/drawing/2014/main" id="{00000000-0008-0000-0200-000017000000}"/>
            </a:ext>
          </a:extLst>
        </xdr:cNvPr>
        <xdr:cNvSpPr/>
      </xdr:nvSpPr>
      <xdr:spPr>
        <a:xfrm>
          <a:off x="9166411" y="537883"/>
          <a:ext cx="896470" cy="2129115"/>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493058</xdr:colOff>
      <xdr:row>2</xdr:row>
      <xdr:rowOff>123265</xdr:rowOff>
    </xdr:from>
    <xdr:to>
      <xdr:col>15</xdr:col>
      <xdr:colOff>627528</xdr:colOff>
      <xdr:row>14</xdr:row>
      <xdr:rowOff>22410</xdr:rowOff>
    </xdr:to>
    <xdr:sp macro="" textlink="">
      <xdr:nvSpPr>
        <xdr:cNvPr id="24" name="Rechteck 23">
          <a:extLst>
            <a:ext uri="{FF2B5EF4-FFF2-40B4-BE49-F238E27FC236}">
              <a16:creationId xmlns:a16="http://schemas.microsoft.com/office/drawing/2014/main" id="{00000000-0008-0000-0200-000018000000}"/>
            </a:ext>
          </a:extLst>
        </xdr:cNvPr>
        <xdr:cNvSpPr/>
      </xdr:nvSpPr>
      <xdr:spPr>
        <a:xfrm>
          <a:off x="11161058" y="504265"/>
          <a:ext cx="896470" cy="2185145"/>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504265</xdr:colOff>
      <xdr:row>14</xdr:row>
      <xdr:rowOff>11204</xdr:rowOff>
    </xdr:from>
    <xdr:to>
      <xdr:col>5</xdr:col>
      <xdr:colOff>372717</xdr:colOff>
      <xdr:row>14</xdr:row>
      <xdr:rowOff>190499</xdr:rowOff>
    </xdr:to>
    <xdr:sp macro="" textlink="">
      <xdr:nvSpPr>
        <xdr:cNvPr id="25" name="Rechteck 24">
          <a:extLst>
            <a:ext uri="{FF2B5EF4-FFF2-40B4-BE49-F238E27FC236}">
              <a16:creationId xmlns:a16="http://schemas.microsoft.com/office/drawing/2014/main" id="{00000000-0008-0000-0200-000019000000}"/>
            </a:ext>
          </a:extLst>
        </xdr:cNvPr>
        <xdr:cNvSpPr/>
      </xdr:nvSpPr>
      <xdr:spPr>
        <a:xfrm>
          <a:off x="504265" y="2678204"/>
          <a:ext cx="3678452" cy="17929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358589</xdr:colOff>
      <xdr:row>21</xdr:row>
      <xdr:rowOff>66262</xdr:rowOff>
    </xdr:from>
    <xdr:to>
      <xdr:col>4</xdr:col>
      <xdr:colOff>621196</xdr:colOff>
      <xdr:row>22</xdr:row>
      <xdr:rowOff>69562</xdr:rowOff>
    </xdr:to>
    <xdr:sp macro="" textlink="">
      <xdr:nvSpPr>
        <xdr:cNvPr id="26" name="Rechteck 25">
          <a:extLst>
            <a:ext uri="{FF2B5EF4-FFF2-40B4-BE49-F238E27FC236}">
              <a16:creationId xmlns:a16="http://schemas.microsoft.com/office/drawing/2014/main" id="{00000000-0008-0000-0200-00001A000000}"/>
            </a:ext>
          </a:extLst>
        </xdr:cNvPr>
        <xdr:cNvSpPr/>
      </xdr:nvSpPr>
      <xdr:spPr>
        <a:xfrm>
          <a:off x="358589" y="4141305"/>
          <a:ext cx="3310607" cy="193800"/>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470649</xdr:colOff>
      <xdr:row>26</xdr:row>
      <xdr:rowOff>100854</xdr:rowOff>
    </xdr:from>
    <xdr:to>
      <xdr:col>1</xdr:col>
      <xdr:colOff>75288</xdr:colOff>
      <xdr:row>28</xdr:row>
      <xdr:rowOff>31350</xdr:rowOff>
    </xdr:to>
    <xdr:sp macro="" textlink="">
      <xdr:nvSpPr>
        <xdr:cNvPr id="27" name="Textfeld 26">
          <a:extLst>
            <a:ext uri="{FF2B5EF4-FFF2-40B4-BE49-F238E27FC236}">
              <a16:creationId xmlns:a16="http://schemas.microsoft.com/office/drawing/2014/main" id="{00000000-0008-0000-0200-00001B000000}"/>
            </a:ext>
          </a:extLst>
        </xdr:cNvPr>
        <xdr:cNvSpPr txBox="1"/>
      </xdr:nvSpPr>
      <xdr:spPr>
        <a:xfrm>
          <a:off x="470649" y="5210736"/>
          <a:ext cx="366639"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01</a:t>
          </a:r>
        </a:p>
      </xdr:txBody>
    </xdr:sp>
    <xdr:clientData/>
  </xdr:twoCellAnchor>
  <xdr:twoCellAnchor>
    <xdr:from>
      <xdr:col>3</xdr:col>
      <xdr:colOff>156884</xdr:colOff>
      <xdr:row>26</xdr:row>
      <xdr:rowOff>100854</xdr:rowOff>
    </xdr:from>
    <xdr:to>
      <xdr:col>3</xdr:col>
      <xdr:colOff>642017</xdr:colOff>
      <xdr:row>28</xdr:row>
      <xdr:rowOff>31350</xdr:rowOff>
    </xdr:to>
    <xdr:sp macro="" textlink="">
      <xdr:nvSpPr>
        <xdr:cNvPr id="28" name="Textfeld 27">
          <a:extLst>
            <a:ext uri="{FF2B5EF4-FFF2-40B4-BE49-F238E27FC236}">
              <a16:creationId xmlns:a16="http://schemas.microsoft.com/office/drawing/2014/main" id="{00000000-0008-0000-0200-00001C000000}"/>
            </a:ext>
          </a:extLst>
        </xdr:cNvPr>
        <xdr:cNvSpPr txBox="1"/>
      </xdr:nvSpPr>
      <xdr:spPr>
        <a:xfrm>
          <a:off x="2442884" y="5210736"/>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02</a:t>
          </a:r>
        </a:p>
      </xdr:txBody>
    </xdr:sp>
    <xdr:clientData/>
  </xdr:twoCellAnchor>
  <xdr:twoCellAnchor>
    <xdr:from>
      <xdr:col>5</xdr:col>
      <xdr:colOff>638737</xdr:colOff>
      <xdr:row>26</xdr:row>
      <xdr:rowOff>89648</xdr:rowOff>
    </xdr:from>
    <xdr:to>
      <xdr:col>6</xdr:col>
      <xdr:colOff>361870</xdr:colOff>
      <xdr:row>28</xdr:row>
      <xdr:rowOff>20144</xdr:rowOff>
    </xdr:to>
    <xdr:sp macro="" textlink="">
      <xdr:nvSpPr>
        <xdr:cNvPr id="29" name="Textfeld 28">
          <a:extLst>
            <a:ext uri="{FF2B5EF4-FFF2-40B4-BE49-F238E27FC236}">
              <a16:creationId xmlns:a16="http://schemas.microsoft.com/office/drawing/2014/main" id="{00000000-0008-0000-0200-00001D000000}"/>
            </a:ext>
          </a:extLst>
        </xdr:cNvPr>
        <xdr:cNvSpPr txBox="1"/>
      </xdr:nvSpPr>
      <xdr:spPr>
        <a:xfrm>
          <a:off x="4448737" y="5199530"/>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03</a:t>
          </a:r>
        </a:p>
      </xdr:txBody>
    </xdr:sp>
    <xdr:clientData/>
  </xdr:twoCellAnchor>
  <xdr:twoCellAnchor>
    <xdr:from>
      <xdr:col>8</xdr:col>
      <xdr:colOff>347384</xdr:colOff>
      <xdr:row>26</xdr:row>
      <xdr:rowOff>56030</xdr:rowOff>
    </xdr:from>
    <xdr:to>
      <xdr:col>9</xdr:col>
      <xdr:colOff>70517</xdr:colOff>
      <xdr:row>27</xdr:row>
      <xdr:rowOff>177026</xdr:rowOff>
    </xdr:to>
    <xdr:sp macro="" textlink="">
      <xdr:nvSpPr>
        <xdr:cNvPr id="30" name="Textfeld 29">
          <a:extLst>
            <a:ext uri="{FF2B5EF4-FFF2-40B4-BE49-F238E27FC236}">
              <a16:creationId xmlns:a16="http://schemas.microsoft.com/office/drawing/2014/main" id="{00000000-0008-0000-0200-00001E000000}"/>
            </a:ext>
          </a:extLst>
        </xdr:cNvPr>
        <xdr:cNvSpPr txBox="1"/>
      </xdr:nvSpPr>
      <xdr:spPr>
        <a:xfrm>
          <a:off x="6443384" y="5165912"/>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04</a:t>
          </a:r>
        </a:p>
      </xdr:txBody>
    </xdr:sp>
    <xdr:clientData/>
  </xdr:twoCellAnchor>
  <xdr:twoCellAnchor>
    <xdr:from>
      <xdr:col>11</xdr:col>
      <xdr:colOff>67236</xdr:colOff>
      <xdr:row>26</xdr:row>
      <xdr:rowOff>33618</xdr:rowOff>
    </xdr:from>
    <xdr:to>
      <xdr:col>11</xdr:col>
      <xdr:colOff>552369</xdr:colOff>
      <xdr:row>27</xdr:row>
      <xdr:rowOff>154614</xdr:rowOff>
    </xdr:to>
    <xdr:sp macro="" textlink="">
      <xdr:nvSpPr>
        <xdr:cNvPr id="31" name="Textfeld 30">
          <a:extLst>
            <a:ext uri="{FF2B5EF4-FFF2-40B4-BE49-F238E27FC236}">
              <a16:creationId xmlns:a16="http://schemas.microsoft.com/office/drawing/2014/main" id="{00000000-0008-0000-0200-00001F000000}"/>
            </a:ext>
          </a:extLst>
        </xdr:cNvPr>
        <xdr:cNvSpPr txBox="1"/>
      </xdr:nvSpPr>
      <xdr:spPr>
        <a:xfrm>
          <a:off x="8449236" y="5143500"/>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05</a:t>
          </a:r>
        </a:p>
      </xdr:txBody>
    </xdr:sp>
    <xdr:clientData/>
  </xdr:twoCellAnchor>
  <xdr:twoCellAnchor>
    <xdr:from>
      <xdr:col>13</xdr:col>
      <xdr:colOff>481854</xdr:colOff>
      <xdr:row>26</xdr:row>
      <xdr:rowOff>11206</xdr:rowOff>
    </xdr:from>
    <xdr:to>
      <xdr:col>14</xdr:col>
      <xdr:colOff>295974</xdr:colOff>
      <xdr:row>27</xdr:row>
      <xdr:rowOff>132202</xdr:rowOff>
    </xdr:to>
    <xdr:sp macro="" textlink="">
      <xdr:nvSpPr>
        <xdr:cNvPr id="32" name="Textfeld 31">
          <a:extLst>
            <a:ext uri="{FF2B5EF4-FFF2-40B4-BE49-F238E27FC236}">
              <a16:creationId xmlns:a16="http://schemas.microsoft.com/office/drawing/2014/main" id="{00000000-0008-0000-0200-000020000000}"/>
            </a:ext>
          </a:extLst>
        </xdr:cNvPr>
        <xdr:cNvSpPr txBox="1"/>
      </xdr:nvSpPr>
      <xdr:spPr>
        <a:xfrm>
          <a:off x="10387854" y="5121088"/>
          <a:ext cx="57612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06</a:t>
          </a:r>
        </a:p>
      </xdr:txBody>
    </xdr:sp>
    <xdr:clientData/>
  </xdr:twoCellAnchor>
  <xdr:twoCellAnchor>
    <xdr:from>
      <xdr:col>1</xdr:col>
      <xdr:colOff>212913</xdr:colOff>
      <xdr:row>17</xdr:row>
      <xdr:rowOff>44824</xdr:rowOff>
    </xdr:from>
    <xdr:to>
      <xdr:col>1</xdr:col>
      <xdr:colOff>684260</xdr:colOff>
      <xdr:row>18</xdr:row>
      <xdr:rowOff>165820</xdr:rowOff>
    </xdr:to>
    <xdr:sp macro="" textlink="">
      <xdr:nvSpPr>
        <xdr:cNvPr id="33" name="Textfeld 32">
          <a:extLst>
            <a:ext uri="{FF2B5EF4-FFF2-40B4-BE49-F238E27FC236}">
              <a16:creationId xmlns:a16="http://schemas.microsoft.com/office/drawing/2014/main" id="{00000000-0008-0000-0200-000021000000}"/>
            </a:ext>
          </a:extLst>
        </xdr:cNvPr>
        <xdr:cNvSpPr txBox="1"/>
      </xdr:nvSpPr>
      <xdr:spPr>
        <a:xfrm>
          <a:off x="974913"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07</a:t>
          </a:r>
        </a:p>
      </xdr:txBody>
    </xdr:sp>
    <xdr:clientData/>
  </xdr:twoCellAnchor>
  <xdr:twoCellAnchor>
    <xdr:from>
      <xdr:col>7</xdr:col>
      <xdr:colOff>212913</xdr:colOff>
      <xdr:row>17</xdr:row>
      <xdr:rowOff>56030</xdr:rowOff>
    </xdr:from>
    <xdr:to>
      <xdr:col>7</xdr:col>
      <xdr:colOff>684260</xdr:colOff>
      <xdr:row>18</xdr:row>
      <xdr:rowOff>177026</xdr:rowOff>
    </xdr:to>
    <xdr:sp macro="" textlink="">
      <xdr:nvSpPr>
        <xdr:cNvPr id="35" name="Textfeld 34">
          <a:extLst>
            <a:ext uri="{FF2B5EF4-FFF2-40B4-BE49-F238E27FC236}">
              <a16:creationId xmlns:a16="http://schemas.microsoft.com/office/drawing/2014/main" id="{00000000-0008-0000-0200-000023000000}"/>
            </a:ext>
          </a:extLst>
        </xdr:cNvPr>
        <xdr:cNvSpPr txBox="1"/>
      </xdr:nvSpPr>
      <xdr:spPr>
        <a:xfrm>
          <a:off x="5546913"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12</a:t>
          </a:r>
        </a:p>
      </xdr:txBody>
    </xdr:sp>
    <xdr:clientData/>
  </xdr:twoCellAnchor>
  <xdr:twoCellAnchor>
    <xdr:from>
      <xdr:col>2</xdr:col>
      <xdr:colOff>22413</xdr:colOff>
      <xdr:row>7</xdr:row>
      <xdr:rowOff>11207</xdr:rowOff>
    </xdr:from>
    <xdr:to>
      <xdr:col>2</xdr:col>
      <xdr:colOff>506263</xdr:colOff>
      <xdr:row>8</xdr:row>
      <xdr:rowOff>132203</xdr:rowOff>
    </xdr:to>
    <xdr:sp macro="" textlink="">
      <xdr:nvSpPr>
        <xdr:cNvPr id="37" name="Textfeld 36">
          <a:extLst>
            <a:ext uri="{FF2B5EF4-FFF2-40B4-BE49-F238E27FC236}">
              <a16:creationId xmlns:a16="http://schemas.microsoft.com/office/drawing/2014/main" id="{00000000-0008-0000-0200-000025000000}"/>
            </a:ext>
          </a:extLst>
        </xdr:cNvPr>
        <xdr:cNvSpPr txBox="1"/>
      </xdr:nvSpPr>
      <xdr:spPr>
        <a:xfrm>
          <a:off x="1546413" y="1344707"/>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19</a:t>
          </a:r>
        </a:p>
      </xdr:txBody>
    </xdr:sp>
    <xdr:clientData/>
  </xdr:twoCellAnchor>
  <xdr:twoCellAnchor>
    <xdr:from>
      <xdr:col>4</xdr:col>
      <xdr:colOff>481855</xdr:colOff>
      <xdr:row>6</xdr:row>
      <xdr:rowOff>156884</xdr:rowOff>
    </xdr:from>
    <xdr:to>
      <xdr:col>5</xdr:col>
      <xdr:colOff>203705</xdr:colOff>
      <xdr:row>8</xdr:row>
      <xdr:rowOff>87380</xdr:rowOff>
    </xdr:to>
    <xdr:sp macro="" textlink="">
      <xdr:nvSpPr>
        <xdr:cNvPr id="38" name="Textfeld 37">
          <a:extLst>
            <a:ext uri="{FF2B5EF4-FFF2-40B4-BE49-F238E27FC236}">
              <a16:creationId xmlns:a16="http://schemas.microsoft.com/office/drawing/2014/main" id="{00000000-0008-0000-0200-000026000000}"/>
            </a:ext>
          </a:extLst>
        </xdr:cNvPr>
        <xdr:cNvSpPr txBox="1"/>
      </xdr:nvSpPr>
      <xdr:spPr>
        <a:xfrm>
          <a:off x="3529855" y="1299884"/>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20</a:t>
          </a:r>
        </a:p>
      </xdr:txBody>
    </xdr:sp>
    <xdr:clientData/>
  </xdr:twoCellAnchor>
  <xdr:twoCellAnchor>
    <xdr:from>
      <xdr:col>7</xdr:col>
      <xdr:colOff>145679</xdr:colOff>
      <xdr:row>6</xdr:row>
      <xdr:rowOff>134472</xdr:rowOff>
    </xdr:from>
    <xdr:to>
      <xdr:col>7</xdr:col>
      <xdr:colOff>629529</xdr:colOff>
      <xdr:row>8</xdr:row>
      <xdr:rowOff>64968</xdr:rowOff>
    </xdr:to>
    <xdr:sp macro="" textlink="">
      <xdr:nvSpPr>
        <xdr:cNvPr id="39" name="Textfeld 38">
          <a:extLst>
            <a:ext uri="{FF2B5EF4-FFF2-40B4-BE49-F238E27FC236}">
              <a16:creationId xmlns:a16="http://schemas.microsoft.com/office/drawing/2014/main" id="{00000000-0008-0000-0200-000027000000}"/>
            </a:ext>
          </a:extLst>
        </xdr:cNvPr>
        <xdr:cNvSpPr txBox="1"/>
      </xdr:nvSpPr>
      <xdr:spPr>
        <a:xfrm>
          <a:off x="5479679" y="1277472"/>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21</a:t>
          </a:r>
        </a:p>
      </xdr:txBody>
    </xdr:sp>
    <xdr:clientData/>
  </xdr:twoCellAnchor>
  <xdr:twoCellAnchor>
    <xdr:from>
      <xdr:col>9</xdr:col>
      <xdr:colOff>582709</xdr:colOff>
      <xdr:row>6</xdr:row>
      <xdr:rowOff>123266</xdr:rowOff>
    </xdr:from>
    <xdr:to>
      <xdr:col>10</xdr:col>
      <xdr:colOff>304559</xdr:colOff>
      <xdr:row>8</xdr:row>
      <xdr:rowOff>53762</xdr:rowOff>
    </xdr:to>
    <xdr:sp macro="" textlink="">
      <xdr:nvSpPr>
        <xdr:cNvPr id="40" name="Textfeld 39">
          <a:extLst>
            <a:ext uri="{FF2B5EF4-FFF2-40B4-BE49-F238E27FC236}">
              <a16:creationId xmlns:a16="http://schemas.microsoft.com/office/drawing/2014/main" id="{00000000-0008-0000-0200-000028000000}"/>
            </a:ext>
          </a:extLst>
        </xdr:cNvPr>
        <xdr:cNvSpPr txBox="1"/>
      </xdr:nvSpPr>
      <xdr:spPr>
        <a:xfrm>
          <a:off x="7440709" y="1266266"/>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22</a:t>
          </a:r>
        </a:p>
      </xdr:txBody>
    </xdr:sp>
    <xdr:clientData/>
  </xdr:twoCellAnchor>
  <xdr:twoCellAnchor>
    <xdr:from>
      <xdr:col>12</xdr:col>
      <xdr:colOff>268944</xdr:colOff>
      <xdr:row>6</xdr:row>
      <xdr:rowOff>89648</xdr:rowOff>
    </xdr:from>
    <xdr:to>
      <xdr:col>13</xdr:col>
      <xdr:colOff>81781</xdr:colOff>
      <xdr:row>8</xdr:row>
      <xdr:rowOff>20144</xdr:rowOff>
    </xdr:to>
    <xdr:sp macro="" textlink="">
      <xdr:nvSpPr>
        <xdr:cNvPr id="41" name="Textfeld 40">
          <a:extLst>
            <a:ext uri="{FF2B5EF4-FFF2-40B4-BE49-F238E27FC236}">
              <a16:creationId xmlns:a16="http://schemas.microsoft.com/office/drawing/2014/main" id="{00000000-0008-0000-0200-000029000000}"/>
            </a:ext>
          </a:extLst>
        </xdr:cNvPr>
        <xdr:cNvSpPr txBox="1"/>
      </xdr:nvSpPr>
      <xdr:spPr>
        <a:xfrm>
          <a:off x="9412944" y="1232648"/>
          <a:ext cx="57483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23</a:t>
          </a:r>
        </a:p>
      </xdr:txBody>
    </xdr:sp>
    <xdr:clientData/>
  </xdr:twoCellAnchor>
  <xdr:twoCellAnchor>
    <xdr:from>
      <xdr:col>14</xdr:col>
      <xdr:colOff>694767</xdr:colOff>
      <xdr:row>6</xdr:row>
      <xdr:rowOff>145677</xdr:rowOff>
    </xdr:from>
    <xdr:to>
      <xdr:col>15</xdr:col>
      <xdr:colOff>507604</xdr:colOff>
      <xdr:row>8</xdr:row>
      <xdr:rowOff>76173</xdr:rowOff>
    </xdr:to>
    <xdr:sp macro="" textlink="">
      <xdr:nvSpPr>
        <xdr:cNvPr id="42" name="Textfeld 41">
          <a:extLst>
            <a:ext uri="{FF2B5EF4-FFF2-40B4-BE49-F238E27FC236}">
              <a16:creationId xmlns:a16="http://schemas.microsoft.com/office/drawing/2014/main" id="{00000000-0008-0000-0200-00002A000000}"/>
            </a:ext>
          </a:extLst>
        </xdr:cNvPr>
        <xdr:cNvSpPr txBox="1"/>
      </xdr:nvSpPr>
      <xdr:spPr>
        <a:xfrm>
          <a:off x="11362767" y="1288677"/>
          <a:ext cx="57483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24</a:t>
          </a:r>
        </a:p>
      </xdr:txBody>
    </xdr:sp>
    <xdr:clientData/>
  </xdr:twoCellAnchor>
  <xdr:twoCellAnchor>
    <xdr:from>
      <xdr:col>1</xdr:col>
      <xdr:colOff>437030</xdr:colOff>
      <xdr:row>22</xdr:row>
      <xdr:rowOff>56029</xdr:rowOff>
    </xdr:from>
    <xdr:to>
      <xdr:col>2</xdr:col>
      <xdr:colOff>739588</xdr:colOff>
      <xdr:row>23</xdr:row>
      <xdr:rowOff>145676</xdr:rowOff>
    </xdr:to>
    <xdr:sp macro="" textlink="">
      <xdr:nvSpPr>
        <xdr:cNvPr id="47" name="Rechteck 46">
          <a:extLst>
            <a:ext uri="{FF2B5EF4-FFF2-40B4-BE49-F238E27FC236}">
              <a16:creationId xmlns:a16="http://schemas.microsoft.com/office/drawing/2014/main" id="{00000000-0008-0000-0200-00002F000000}"/>
            </a:ext>
          </a:extLst>
        </xdr:cNvPr>
        <xdr:cNvSpPr/>
      </xdr:nvSpPr>
      <xdr:spPr>
        <a:xfrm>
          <a:off x="1199030" y="4325470"/>
          <a:ext cx="1064558" cy="280147"/>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56030</xdr:colOff>
      <xdr:row>21</xdr:row>
      <xdr:rowOff>168089</xdr:rowOff>
    </xdr:from>
    <xdr:to>
      <xdr:col>2</xdr:col>
      <xdr:colOff>422413</xdr:colOff>
      <xdr:row>23</xdr:row>
      <xdr:rowOff>98585</xdr:rowOff>
    </xdr:to>
    <xdr:sp macro="" textlink="">
      <xdr:nvSpPr>
        <xdr:cNvPr id="43" name="Textfeld 42">
          <a:extLst>
            <a:ext uri="{FF2B5EF4-FFF2-40B4-BE49-F238E27FC236}">
              <a16:creationId xmlns:a16="http://schemas.microsoft.com/office/drawing/2014/main" id="{00000000-0008-0000-0200-00002B000000}"/>
            </a:ext>
          </a:extLst>
        </xdr:cNvPr>
        <xdr:cNvSpPr txBox="1"/>
      </xdr:nvSpPr>
      <xdr:spPr>
        <a:xfrm>
          <a:off x="1580030" y="4243132"/>
          <a:ext cx="36638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B1</a:t>
          </a:r>
        </a:p>
      </xdr:txBody>
    </xdr:sp>
    <xdr:clientData/>
  </xdr:twoCellAnchor>
  <xdr:twoCellAnchor>
    <xdr:from>
      <xdr:col>4</xdr:col>
      <xdr:colOff>123265</xdr:colOff>
      <xdr:row>22</xdr:row>
      <xdr:rowOff>67236</xdr:rowOff>
    </xdr:from>
    <xdr:to>
      <xdr:col>4</xdr:col>
      <xdr:colOff>629478</xdr:colOff>
      <xdr:row>23</xdr:row>
      <xdr:rowOff>156883</xdr:rowOff>
    </xdr:to>
    <xdr:sp macro="" textlink="">
      <xdr:nvSpPr>
        <xdr:cNvPr id="48" name="Rechteck 47">
          <a:extLst>
            <a:ext uri="{FF2B5EF4-FFF2-40B4-BE49-F238E27FC236}">
              <a16:creationId xmlns:a16="http://schemas.microsoft.com/office/drawing/2014/main" id="{00000000-0008-0000-0200-000030000000}"/>
            </a:ext>
          </a:extLst>
        </xdr:cNvPr>
        <xdr:cNvSpPr/>
      </xdr:nvSpPr>
      <xdr:spPr>
        <a:xfrm>
          <a:off x="3171265" y="4332779"/>
          <a:ext cx="506213" cy="280147"/>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582706</xdr:colOff>
      <xdr:row>22</xdr:row>
      <xdr:rowOff>67235</xdr:rowOff>
    </xdr:from>
    <xdr:to>
      <xdr:col>8</xdr:col>
      <xdr:colOff>123264</xdr:colOff>
      <xdr:row>23</xdr:row>
      <xdr:rowOff>156882</xdr:rowOff>
    </xdr:to>
    <xdr:sp macro="" textlink="">
      <xdr:nvSpPr>
        <xdr:cNvPr id="49" name="Rechteck 48">
          <a:extLst>
            <a:ext uri="{FF2B5EF4-FFF2-40B4-BE49-F238E27FC236}">
              <a16:creationId xmlns:a16="http://schemas.microsoft.com/office/drawing/2014/main" id="{00000000-0008-0000-0200-000031000000}"/>
            </a:ext>
          </a:extLst>
        </xdr:cNvPr>
        <xdr:cNvSpPr/>
      </xdr:nvSpPr>
      <xdr:spPr>
        <a:xfrm>
          <a:off x="5154706" y="4336676"/>
          <a:ext cx="106455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273326</xdr:colOff>
      <xdr:row>22</xdr:row>
      <xdr:rowOff>56030</xdr:rowOff>
    </xdr:from>
    <xdr:to>
      <xdr:col>10</xdr:col>
      <xdr:colOff>605117</xdr:colOff>
      <xdr:row>23</xdr:row>
      <xdr:rowOff>145677</xdr:rowOff>
    </xdr:to>
    <xdr:sp macro="" textlink="">
      <xdr:nvSpPr>
        <xdr:cNvPr id="50" name="Rechteck 49">
          <a:extLst>
            <a:ext uri="{FF2B5EF4-FFF2-40B4-BE49-F238E27FC236}">
              <a16:creationId xmlns:a16="http://schemas.microsoft.com/office/drawing/2014/main" id="{00000000-0008-0000-0200-000032000000}"/>
            </a:ext>
          </a:extLst>
        </xdr:cNvPr>
        <xdr:cNvSpPr/>
      </xdr:nvSpPr>
      <xdr:spPr>
        <a:xfrm>
          <a:off x="7131326" y="4321573"/>
          <a:ext cx="1093791"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22412</xdr:colOff>
      <xdr:row>22</xdr:row>
      <xdr:rowOff>56030</xdr:rowOff>
    </xdr:from>
    <xdr:to>
      <xdr:col>13</xdr:col>
      <xdr:colOff>324970</xdr:colOff>
      <xdr:row>23</xdr:row>
      <xdr:rowOff>145677</xdr:rowOff>
    </xdr:to>
    <xdr:sp macro="" textlink="">
      <xdr:nvSpPr>
        <xdr:cNvPr id="51" name="Rechteck 50">
          <a:extLst>
            <a:ext uri="{FF2B5EF4-FFF2-40B4-BE49-F238E27FC236}">
              <a16:creationId xmlns:a16="http://schemas.microsoft.com/office/drawing/2014/main" id="{00000000-0008-0000-0200-000033000000}"/>
            </a:ext>
          </a:extLst>
        </xdr:cNvPr>
        <xdr:cNvSpPr/>
      </xdr:nvSpPr>
      <xdr:spPr>
        <a:xfrm>
          <a:off x="9166412" y="4325471"/>
          <a:ext cx="106455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437029</xdr:colOff>
      <xdr:row>22</xdr:row>
      <xdr:rowOff>67236</xdr:rowOff>
    </xdr:from>
    <xdr:to>
      <xdr:col>15</xdr:col>
      <xdr:colOff>448235</xdr:colOff>
      <xdr:row>23</xdr:row>
      <xdr:rowOff>156883</xdr:rowOff>
    </xdr:to>
    <xdr:sp macro="" textlink="">
      <xdr:nvSpPr>
        <xdr:cNvPr id="52" name="Rechteck 51">
          <a:extLst>
            <a:ext uri="{FF2B5EF4-FFF2-40B4-BE49-F238E27FC236}">
              <a16:creationId xmlns:a16="http://schemas.microsoft.com/office/drawing/2014/main" id="{00000000-0008-0000-0200-000034000000}"/>
            </a:ext>
          </a:extLst>
        </xdr:cNvPr>
        <xdr:cNvSpPr/>
      </xdr:nvSpPr>
      <xdr:spPr>
        <a:xfrm>
          <a:off x="11105029" y="4336677"/>
          <a:ext cx="773206"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89647</xdr:colOff>
      <xdr:row>14</xdr:row>
      <xdr:rowOff>168088</xdr:rowOff>
    </xdr:from>
    <xdr:to>
      <xdr:col>3</xdr:col>
      <xdr:colOff>739588</xdr:colOff>
      <xdr:row>21</xdr:row>
      <xdr:rowOff>56028</xdr:rowOff>
    </xdr:to>
    <xdr:sp macro="" textlink="">
      <xdr:nvSpPr>
        <xdr:cNvPr id="53" name="Rechteck 52">
          <a:extLst>
            <a:ext uri="{FF2B5EF4-FFF2-40B4-BE49-F238E27FC236}">
              <a16:creationId xmlns:a16="http://schemas.microsoft.com/office/drawing/2014/main" id="{00000000-0008-0000-0200-000035000000}"/>
            </a:ext>
          </a:extLst>
        </xdr:cNvPr>
        <xdr:cNvSpPr/>
      </xdr:nvSpPr>
      <xdr:spPr>
        <a:xfrm>
          <a:off x="2375647" y="2835088"/>
          <a:ext cx="649941"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190501</xdr:colOff>
      <xdr:row>17</xdr:row>
      <xdr:rowOff>56030</xdr:rowOff>
    </xdr:from>
    <xdr:to>
      <xdr:col>3</xdr:col>
      <xdr:colOff>661848</xdr:colOff>
      <xdr:row>18</xdr:row>
      <xdr:rowOff>177026</xdr:rowOff>
    </xdr:to>
    <xdr:sp macro="" textlink="">
      <xdr:nvSpPr>
        <xdr:cNvPr id="34" name="Textfeld 33">
          <a:extLst>
            <a:ext uri="{FF2B5EF4-FFF2-40B4-BE49-F238E27FC236}">
              <a16:creationId xmlns:a16="http://schemas.microsoft.com/office/drawing/2014/main" id="{00000000-0008-0000-0200-000022000000}"/>
            </a:ext>
          </a:extLst>
        </xdr:cNvPr>
        <xdr:cNvSpPr txBox="1"/>
      </xdr:nvSpPr>
      <xdr:spPr>
        <a:xfrm>
          <a:off x="2476501"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08</a:t>
          </a:r>
        </a:p>
      </xdr:txBody>
    </xdr:sp>
    <xdr:clientData/>
  </xdr:twoCellAnchor>
  <xdr:twoCellAnchor>
    <xdr:from>
      <xdr:col>4</xdr:col>
      <xdr:colOff>78442</xdr:colOff>
      <xdr:row>17</xdr:row>
      <xdr:rowOff>56030</xdr:rowOff>
    </xdr:from>
    <xdr:to>
      <xdr:col>4</xdr:col>
      <xdr:colOff>549789</xdr:colOff>
      <xdr:row>18</xdr:row>
      <xdr:rowOff>177026</xdr:rowOff>
    </xdr:to>
    <xdr:sp macro="" textlink="">
      <xdr:nvSpPr>
        <xdr:cNvPr id="54" name="Textfeld 53">
          <a:extLst>
            <a:ext uri="{FF2B5EF4-FFF2-40B4-BE49-F238E27FC236}">
              <a16:creationId xmlns:a16="http://schemas.microsoft.com/office/drawing/2014/main" id="{00000000-0008-0000-0200-000036000000}"/>
            </a:ext>
          </a:extLst>
        </xdr:cNvPr>
        <xdr:cNvSpPr txBox="1"/>
      </xdr:nvSpPr>
      <xdr:spPr>
        <a:xfrm>
          <a:off x="3126442"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09</a:t>
          </a:r>
        </a:p>
      </xdr:txBody>
    </xdr:sp>
    <xdr:clientData/>
  </xdr:twoCellAnchor>
  <xdr:twoCellAnchor>
    <xdr:from>
      <xdr:col>6</xdr:col>
      <xdr:colOff>190500</xdr:colOff>
      <xdr:row>14</xdr:row>
      <xdr:rowOff>168088</xdr:rowOff>
    </xdr:from>
    <xdr:to>
      <xdr:col>7</xdr:col>
      <xdr:colOff>56029</xdr:colOff>
      <xdr:row>21</xdr:row>
      <xdr:rowOff>56028</xdr:rowOff>
    </xdr:to>
    <xdr:sp macro="" textlink="">
      <xdr:nvSpPr>
        <xdr:cNvPr id="55" name="Rechteck 54">
          <a:extLst>
            <a:ext uri="{FF2B5EF4-FFF2-40B4-BE49-F238E27FC236}">
              <a16:creationId xmlns:a16="http://schemas.microsoft.com/office/drawing/2014/main" id="{00000000-0008-0000-0200-000037000000}"/>
            </a:ext>
          </a:extLst>
        </xdr:cNvPr>
        <xdr:cNvSpPr/>
      </xdr:nvSpPr>
      <xdr:spPr>
        <a:xfrm>
          <a:off x="4762500" y="2835088"/>
          <a:ext cx="627529"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280148</xdr:colOff>
      <xdr:row>17</xdr:row>
      <xdr:rowOff>67235</xdr:rowOff>
    </xdr:from>
    <xdr:to>
      <xdr:col>6</xdr:col>
      <xdr:colOff>751495</xdr:colOff>
      <xdr:row>18</xdr:row>
      <xdr:rowOff>188231</xdr:rowOff>
    </xdr:to>
    <xdr:sp macro="" textlink="">
      <xdr:nvSpPr>
        <xdr:cNvPr id="56" name="Textfeld 55">
          <a:extLst>
            <a:ext uri="{FF2B5EF4-FFF2-40B4-BE49-F238E27FC236}">
              <a16:creationId xmlns:a16="http://schemas.microsoft.com/office/drawing/2014/main" id="{00000000-0008-0000-0200-000038000000}"/>
            </a:ext>
          </a:extLst>
        </xdr:cNvPr>
        <xdr:cNvSpPr txBox="1"/>
      </xdr:nvSpPr>
      <xdr:spPr>
        <a:xfrm>
          <a:off x="4852148" y="3305735"/>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11</a:t>
          </a:r>
        </a:p>
      </xdr:txBody>
    </xdr:sp>
    <xdr:clientData/>
  </xdr:twoCellAnchor>
  <xdr:twoCellAnchor>
    <xdr:from>
      <xdr:col>8</xdr:col>
      <xdr:colOff>78441</xdr:colOff>
      <xdr:row>14</xdr:row>
      <xdr:rowOff>179294</xdr:rowOff>
    </xdr:from>
    <xdr:to>
      <xdr:col>8</xdr:col>
      <xdr:colOff>750794</xdr:colOff>
      <xdr:row>21</xdr:row>
      <xdr:rowOff>67234</xdr:rowOff>
    </xdr:to>
    <xdr:sp macro="" textlink="">
      <xdr:nvSpPr>
        <xdr:cNvPr id="57" name="Rechteck 56">
          <a:extLst>
            <a:ext uri="{FF2B5EF4-FFF2-40B4-BE49-F238E27FC236}">
              <a16:creationId xmlns:a16="http://schemas.microsoft.com/office/drawing/2014/main" id="{00000000-0008-0000-0200-000039000000}"/>
            </a:ext>
          </a:extLst>
        </xdr:cNvPr>
        <xdr:cNvSpPr/>
      </xdr:nvSpPr>
      <xdr:spPr>
        <a:xfrm>
          <a:off x="6174441" y="2846294"/>
          <a:ext cx="672353"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190501</xdr:colOff>
      <xdr:row>17</xdr:row>
      <xdr:rowOff>33619</xdr:rowOff>
    </xdr:from>
    <xdr:to>
      <xdr:col>8</xdr:col>
      <xdr:colOff>661848</xdr:colOff>
      <xdr:row>18</xdr:row>
      <xdr:rowOff>154615</xdr:rowOff>
    </xdr:to>
    <xdr:sp macro="" textlink="">
      <xdr:nvSpPr>
        <xdr:cNvPr id="58" name="Textfeld 57">
          <a:extLst>
            <a:ext uri="{FF2B5EF4-FFF2-40B4-BE49-F238E27FC236}">
              <a16:creationId xmlns:a16="http://schemas.microsoft.com/office/drawing/2014/main" id="{00000000-0008-0000-0200-00003A000000}"/>
            </a:ext>
          </a:extLst>
        </xdr:cNvPr>
        <xdr:cNvSpPr txBox="1"/>
      </xdr:nvSpPr>
      <xdr:spPr>
        <a:xfrm>
          <a:off x="6286501" y="327211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13</a:t>
          </a:r>
        </a:p>
      </xdr:txBody>
    </xdr:sp>
    <xdr:clientData/>
  </xdr:twoCellAnchor>
  <xdr:twoCellAnchor>
    <xdr:from>
      <xdr:col>8</xdr:col>
      <xdr:colOff>728381</xdr:colOff>
      <xdr:row>14</xdr:row>
      <xdr:rowOff>179293</xdr:rowOff>
    </xdr:from>
    <xdr:to>
      <xdr:col>10</xdr:col>
      <xdr:colOff>11206</xdr:colOff>
      <xdr:row>21</xdr:row>
      <xdr:rowOff>67233</xdr:rowOff>
    </xdr:to>
    <xdr:sp macro="" textlink="">
      <xdr:nvSpPr>
        <xdr:cNvPr id="59" name="Rechteck 58">
          <a:extLst>
            <a:ext uri="{FF2B5EF4-FFF2-40B4-BE49-F238E27FC236}">
              <a16:creationId xmlns:a16="http://schemas.microsoft.com/office/drawing/2014/main" id="{00000000-0008-0000-0200-00003B000000}"/>
            </a:ext>
          </a:extLst>
        </xdr:cNvPr>
        <xdr:cNvSpPr/>
      </xdr:nvSpPr>
      <xdr:spPr>
        <a:xfrm>
          <a:off x="6824381" y="2846293"/>
          <a:ext cx="806825"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134472</xdr:colOff>
      <xdr:row>17</xdr:row>
      <xdr:rowOff>33619</xdr:rowOff>
    </xdr:from>
    <xdr:to>
      <xdr:col>9</xdr:col>
      <xdr:colOff>605819</xdr:colOff>
      <xdr:row>18</xdr:row>
      <xdr:rowOff>154615</xdr:rowOff>
    </xdr:to>
    <xdr:sp macro="" textlink="">
      <xdr:nvSpPr>
        <xdr:cNvPr id="60" name="Textfeld 59">
          <a:extLst>
            <a:ext uri="{FF2B5EF4-FFF2-40B4-BE49-F238E27FC236}">
              <a16:creationId xmlns:a16="http://schemas.microsoft.com/office/drawing/2014/main" id="{00000000-0008-0000-0200-00003C000000}"/>
            </a:ext>
          </a:extLst>
        </xdr:cNvPr>
        <xdr:cNvSpPr txBox="1"/>
      </xdr:nvSpPr>
      <xdr:spPr>
        <a:xfrm>
          <a:off x="6992472" y="327211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14</a:t>
          </a:r>
        </a:p>
      </xdr:txBody>
    </xdr:sp>
    <xdr:clientData/>
  </xdr:twoCellAnchor>
  <xdr:twoCellAnchor>
    <xdr:from>
      <xdr:col>11</xdr:col>
      <xdr:colOff>493059</xdr:colOff>
      <xdr:row>17</xdr:row>
      <xdr:rowOff>44824</xdr:rowOff>
    </xdr:from>
    <xdr:to>
      <xdr:col>12</xdr:col>
      <xdr:colOff>202406</xdr:colOff>
      <xdr:row>18</xdr:row>
      <xdr:rowOff>165820</xdr:rowOff>
    </xdr:to>
    <xdr:sp macro="" textlink="">
      <xdr:nvSpPr>
        <xdr:cNvPr id="61" name="Textfeld 60">
          <a:extLst>
            <a:ext uri="{FF2B5EF4-FFF2-40B4-BE49-F238E27FC236}">
              <a16:creationId xmlns:a16="http://schemas.microsoft.com/office/drawing/2014/main" id="{00000000-0008-0000-0200-00003D000000}"/>
            </a:ext>
          </a:extLst>
        </xdr:cNvPr>
        <xdr:cNvSpPr txBox="1"/>
      </xdr:nvSpPr>
      <xdr:spPr>
        <a:xfrm>
          <a:off x="8875059"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15</a:t>
          </a:r>
        </a:p>
      </xdr:txBody>
    </xdr:sp>
    <xdr:clientData/>
  </xdr:twoCellAnchor>
  <xdr:twoCellAnchor>
    <xdr:from>
      <xdr:col>12</xdr:col>
      <xdr:colOff>336176</xdr:colOff>
      <xdr:row>14</xdr:row>
      <xdr:rowOff>179294</xdr:rowOff>
    </xdr:from>
    <xdr:to>
      <xdr:col>13</xdr:col>
      <xdr:colOff>246529</xdr:colOff>
      <xdr:row>21</xdr:row>
      <xdr:rowOff>67234</xdr:rowOff>
    </xdr:to>
    <xdr:sp macro="" textlink="">
      <xdr:nvSpPr>
        <xdr:cNvPr id="62" name="Rechteck 61">
          <a:extLst>
            <a:ext uri="{FF2B5EF4-FFF2-40B4-BE49-F238E27FC236}">
              <a16:creationId xmlns:a16="http://schemas.microsoft.com/office/drawing/2014/main" id="{00000000-0008-0000-0200-00003E000000}"/>
            </a:ext>
          </a:extLst>
        </xdr:cNvPr>
        <xdr:cNvSpPr/>
      </xdr:nvSpPr>
      <xdr:spPr>
        <a:xfrm>
          <a:off x="9480176" y="2846294"/>
          <a:ext cx="672353"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425823</xdr:colOff>
      <xdr:row>17</xdr:row>
      <xdr:rowOff>44824</xdr:rowOff>
    </xdr:from>
    <xdr:to>
      <xdr:col>13</xdr:col>
      <xdr:colOff>135170</xdr:colOff>
      <xdr:row>18</xdr:row>
      <xdr:rowOff>165820</xdr:rowOff>
    </xdr:to>
    <xdr:sp macro="" textlink="">
      <xdr:nvSpPr>
        <xdr:cNvPr id="36" name="Textfeld 35">
          <a:extLst>
            <a:ext uri="{FF2B5EF4-FFF2-40B4-BE49-F238E27FC236}">
              <a16:creationId xmlns:a16="http://schemas.microsoft.com/office/drawing/2014/main" id="{00000000-0008-0000-0200-000024000000}"/>
            </a:ext>
          </a:extLst>
        </xdr:cNvPr>
        <xdr:cNvSpPr txBox="1"/>
      </xdr:nvSpPr>
      <xdr:spPr>
        <a:xfrm>
          <a:off x="9569823"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16</a:t>
          </a:r>
        </a:p>
      </xdr:txBody>
    </xdr:sp>
    <xdr:clientData/>
  </xdr:twoCellAnchor>
  <xdr:twoCellAnchor>
    <xdr:from>
      <xdr:col>13</xdr:col>
      <xdr:colOff>257734</xdr:colOff>
      <xdr:row>14</xdr:row>
      <xdr:rowOff>168088</xdr:rowOff>
    </xdr:from>
    <xdr:to>
      <xdr:col>14</xdr:col>
      <xdr:colOff>369794</xdr:colOff>
      <xdr:row>21</xdr:row>
      <xdr:rowOff>56028</xdr:rowOff>
    </xdr:to>
    <xdr:sp macro="" textlink="">
      <xdr:nvSpPr>
        <xdr:cNvPr id="63" name="Rechteck 62">
          <a:extLst>
            <a:ext uri="{FF2B5EF4-FFF2-40B4-BE49-F238E27FC236}">
              <a16:creationId xmlns:a16="http://schemas.microsoft.com/office/drawing/2014/main" id="{00000000-0008-0000-0200-00003F000000}"/>
            </a:ext>
          </a:extLst>
        </xdr:cNvPr>
        <xdr:cNvSpPr/>
      </xdr:nvSpPr>
      <xdr:spPr>
        <a:xfrm>
          <a:off x="10163734" y="2835088"/>
          <a:ext cx="874060"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336176</xdr:colOff>
      <xdr:row>17</xdr:row>
      <xdr:rowOff>56029</xdr:rowOff>
    </xdr:from>
    <xdr:to>
      <xdr:col>14</xdr:col>
      <xdr:colOff>45523</xdr:colOff>
      <xdr:row>18</xdr:row>
      <xdr:rowOff>177025</xdr:rowOff>
    </xdr:to>
    <xdr:sp macro="" textlink="">
      <xdr:nvSpPr>
        <xdr:cNvPr id="64" name="Textfeld 63">
          <a:extLst>
            <a:ext uri="{FF2B5EF4-FFF2-40B4-BE49-F238E27FC236}">
              <a16:creationId xmlns:a16="http://schemas.microsoft.com/office/drawing/2014/main" id="{00000000-0008-0000-0200-000040000000}"/>
            </a:ext>
          </a:extLst>
        </xdr:cNvPr>
        <xdr:cNvSpPr txBox="1"/>
      </xdr:nvSpPr>
      <xdr:spPr>
        <a:xfrm>
          <a:off x="10242176" y="329452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17</a:t>
          </a:r>
        </a:p>
      </xdr:txBody>
    </xdr:sp>
    <xdr:clientData/>
  </xdr:twoCellAnchor>
  <xdr:twoCellAnchor>
    <xdr:from>
      <xdr:col>14</xdr:col>
      <xdr:colOff>392206</xdr:colOff>
      <xdr:row>14</xdr:row>
      <xdr:rowOff>168088</xdr:rowOff>
    </xdr:from>
    <xdr:to>
      <xdr:col>15</xdr:col>
      <xdr:colOff>78441</xdr:colOff>
      <xdr:row>21</xdr:row>
      <xdr:rowOff>56028</xdr:rowOff>
    </xdr:to>
    <xdr:sp macro="" textlink="">
      <xdr:nvSpPr>
        <xdr:cNvPr id="65" name="Rechteck 64">
          <a:extLst>
            <a:ext uri="{FF2B5EF4-FFF2-40B4-BE49-F238E27FC236}">
              <a16:creationId xmlns:a16="http://schemas.microsoft.com/office/drawing/2014/main" id="{00000000-0008-0000-0200-000041000000}"/>
            </a:ext>
          </a:extLst>
        </xdr:cNvPr>
        <xdr:cNvSpPr/>
      </xdr:nvSpPr>
      <xdr:spPr>
        <a:xfrm>
          <a:off x="11060206" y="2835088"/>
          <a:ext cx="448235"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493058</xdr:colOff>
      <xdr:row>17</xdr:row>
      <xdr:rowOff>67235</xdr:rowOff>
    </xdr:from>
    <xdr:to>
      <xdr:col>15</xdr:col>
      <xdr:colOff>100853</xdr:colOff>
      <xdr:row>18</xdr:row>
      <xdr:rowOff>188231</xdr:rowOff>
    </xdr:to>
    <xdr:sp macro="" textlink="">
      <xdr:nvSpPr>
        <xdr:cNvPr id="66" name="Textfeld 65">
          <a:extLst>
            <a:ext uri="{FF2B5EF4-FFF2-40B4-BE49-F238E27FC236}">
              <a16:creationId xmlns:a16="http://schemas.microsoft.com/office/drawing/2014/main" id="{00000000-0008-0000-0200-000042000000}"/>
            </a:ext>
          </a:extLst>
        </xdr:cNvPr>
        <xdr:cNvSpPr txBox="1"/>
      </xdr:nvSpPr>
      <xdr:spPr>
        <a:xfrm>
          <a:off x="11161058" y="3305735"/>
          <a:ext cx="369795"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18</a:t>
          </a:r>
        </a:p>
      </xdr:txBody>
    </xdr:sp>
    <xdr:clientData/>
  </xdr:twoCellAnchor>
  <xdr:twoCellAnchor>
    <xdr:from>
      <xdr:col>0</xdr:col>
      <xdr:colOff>477371</xdr:colOff>
      <xdr:row>12</xdr:row>
      <xdr:rowOff>51545</xdr:rowOff>
    </xdr:from>
    <xdr:to>
      <xdr:col>1</xdr:col>
      <xdr:colOff>582706</xdr:colOff>
      <xdr:row>14</xdr:row>
      <xdr:rowOff>22410</xdr:rowOff>
    </xdr:to>
    <xdr:sp macro="" textlink="">
      <xdr:nvSpPr>
        <xdr:cNvPr id="67" name="Rechteck 66">
          <a:extLst>
            <a:ext uri="{FF2B5EF4-FFF2-40B4-BE49-F238E27FC236}">
              <a16:creationId xmlns:a16="http://schemas.microsoft.com/office/drawing/2014/main" id="{00000000-0008-0000-0200-000043000000}"/>
            </a:ext>
          </a:extLst>
        </xdr:cNvPr>
        <xdr:cNvSpPr/>
      </xdr:nvSpPr>
      <xdr:spPr>
        <a:xfrm>
          <a:off x="477371" y="2337545"/>
          <a:ext cx="867335" cy="35186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645459</xdr:colOff>
      <xdr:row>12</xdr:row>
      <xdr:rowOff>40339</xdr:rowOff>
    </xdr:from>
    <xdr:to>
      <xdr:col>4</xdr:col>
      <xdr:colOff>257735</xdr:colOff>
      <xdr:row>14</xdr:row>
      <xdr:rowOff>11204</xdr:rowOff>
    </xdr:to>
    <xdr:sp macro="" textlink="">
      <xdr:nvSpPr>
        <xdr:cNvPr id="68" name="Rechteck 67">
          <a:extLst>
            <a:ext uri="{FF2B5EF4-FFF2-40B4-BE49-F238E27FC236}">
              <a16:creationId xmlns:a16="http://schemas.microsoft.com/office/drawing/2014/main" id="{00000000-0008-0000-0200-000044000000}"/>
            </a:ext>
          </a:extLst>
        </xdr:cNvPr>
        <xdr:cNvSpPr/>
      </xdr:nvSpPr>
      <xdr:spPr>
        <a:xfrm>
          <a:off x="2169459" y="2326339"/>
          <a:ext cx="1136276" cy="35186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5</xdr:col>
      <xdr:colOff>365312</xdr:colOff>
      <xdr:row>12</xdr:row>
      <xdr:rowOff>40339</xdr:rowOff>
    </xdr:from>
    <xdr:to>
      <xdr:col>6</xdr:col>
      <xdr:colOff>739588</xdr:colOff>
      <xdr:row>14</xdr:row>
      <xdr:rowOff>182217</xdr:rowOff>
    </xdr:to>
    <xdr:sp macro="" textlink="">
      <xdr:nvSpPr>
        <xdr:cNvPr id="69" name="Rechteck 68">
          <a:extLst>
            <a:ext uri="{FF2B5EF4-FFF2-40B4-BE49-F238E27FC236}">
              <a16:creationId xmlns:a16="http://schemas.microsoft.com/office/drawing/2014/main" id="{00000000-0008-0000-0200-000045000000}"/>
            </a:ext>
          </a:extLst>
        </xdr:cNvPr>
        <xdr:cNvSpPr/>
      </xdr:nvSpPr>
      <xdr:spPr>
        <a:xfrm>
          <a:off x="4175312" y="2326339"/>
          <a:ext cx="1136276" cy="522878"/>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17929</xdr:colOff>
      <xdr:row>12</xdr:row>
      <xdr:rowOff>40339</xdr:rowOff>
    </xdr:from>
    <xdr:to>
      <xdr:col>9</xdr:col>
      <xdr:colOff>392205</xdr:colOff>
      <xdr:row>14</xdr:row>
      <xdr:rowOff>11204</xdr:rowOff>
    </xdr:to>
    <xdr:sp macro="" textlink="">
      <xdr:nvSpPr>
        <xdr:cNvPr id="70" name="Rechteck 69">
          <a:extLst>
            <a:ext uri="{FF2B5EF4-FFF2-40B4-BE49-F238E27FC236}">
              <a16:creationId xmlns:a16="http://schemas.microsoft.com/office/drawing/2014/main" id="{00000000-0008-0000-0200-000046000000}"/>
            </a:ext>
          </a:extLst>
        </xdr:cNvPr>
        <xdr:cNvSpPr/>
      </xdr:nvSpPr>
      <xdr:spPr>
        <a:xfrm>
          <a:off x="6113929"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201706</xdr:colOff>
      <xdr:row>12</xdr:row>
      <xdr:rowOff>156883</xdr:rowOff>
    </xdr:from>
    <xdr:to>
      <xdr:col>3</xdr:col>
      <xdr:colOff>546651</xdr:colOff>
      <xdr:row>14</xdr:row>
      <xdr:rowOff>87379</xdr:rowOff>
    </xdr:to>
    <xdr:sp macro="" textlink="">
      <xdr:nvSpPr>
        <xdr:cNvPr id="44" name="Textfeld 43">
          <a:extLst>
            <a:ext uri="{FF2B5EF4-FFF2-40B4-BE49-F238E27FC236}">
              <a16:creationId xmlns:a16="http://schemas.microsoft.com/office/drawing/2014/main" id="{00000000-0008-0000-0200-00002C000000}"/>
            </a:ext>
          </a:extLst>
        </xdr:cNvPr>
        <xdr:cNvSpPr txBox="1"/>
      </xdr:nvSpPr>
      <xdr:spPr>
        <a:xfrm>
          <a:off x="2487706" y="2442883"/>
          <a:ext cx="344945"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C1</a:t>
          </a:r>
        </a:p>
      </xdr:txBody>
    </xdr:sp>
    <xdr:clientData/>
  </xdr:twoCellAnchor>
  <xdr:twoCellAnchor>
    <xdr:from>
      <xdr:col>10</xdr:col>
      <xdr:colOff>454958</xdr:colOff>
      <xdr:row>12</xdr:row>
      <xdr:rowOff>40339</xdr:rowOff>
    </xdr:from>
    <xdr:to>
      <xdr:col>12</xdr:col>
      <xdr:colOff>67234</xdr:colOff>
      <xdr:row>14</xdr:row>
      <xdr:rowOff>11204</xdr:rowOff>
    </xdr:to>
    <xdr:sp macro="" textlink="">
      <xdr:nvSpPr>
        <xdr:cNvPr id="71" name="Rechteck 70">
          <a:extLst>
            <a:ext uri="{FF2B5EF4-FFF2-40B4-BE49-F238E27FC236}">
              <a16:creationId xmlns:a16="http://schemas.microsoft.com/office/drawing/2014/main" id="{00000000-0008-0000-0200-000047000000}"/>
            </a:ext>
          </a:extLst>
        </xdr:cNvPr>
        <xdr:cNvSpPr/>
      </xdr:nvSpPr>
      <xdr:spPr>
        <a:xfrm>
          <a:off x="8074958"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118781</xdr:colOff>
      <xdr:row>12</xdr:row>
      <xdr:rowOff>40339</xdr:rowOff>
    </xdr:from>
    <xdr:to>
      <xdr:col>14</xdr:col>
      <xdr:colOff>493057</xdr:colOff>
      <xdr:row>14</xdr:row>
      <xdr:rowOff>11204</xdr:rowOff>
    </xdr:to>
    <xdr:sp macro="" textlink="">
      <xdr:nvSpPr>
        <xdr:cNvPr id="72" name="Rechteck 71">
          <a:extLst>
            <a:ext uri="{FF2B5EF4-FFF2-40B4-BE49-F238E27FC236}">
              <a16:creationId xmlns:a16="http://schemas.microsoft.com/office/drawing/2014/main" id="{00000000-0008-0000-0200-000048000000}"/>
            </a:ext>
          </a:extLst>
        </xdr:cNvPr>
        <xdr:cNvSpPr/>
      </xdr:nvSpPr>
      <xdr:spPr>
        <a:xfrm>
          <a:off x="10024781"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727894</xdr:colOff>
      <xdr:row>13</xdr:row>
      <xdr:rowOff>168573</xdr:rowOff>
    </xdr:from>
    <xdr:to>
      <xdr:col>15</xdr:col>
      <xdr:colOff>604629</xdr:colOff>
      <xdr:row>14</xdr:row>
      <xdr:rowOff>165652</xdr:rowOff>
    </xdr:to>
    <xdr:sp macro="" textlink="">
      <xdr:nvSpPr>
        <xdr:cNvPr id="74" name="Rechteck 73">
          <a:extLst>
            <a:ext uri="{FF2B5EF4-FFF2-40B4-BE49-F238E27FC236}">
              <a16:creationId xmlns:a16="http://schemas.microsoft.com/office/drawing/2014/main" id="{00000000-0008-0000-0200-00004A000000}"/>
            </a:ext>
          </a:extLst>
        </xdr:cNvPr>
        <xdr:cNvSpPr/>
      </xdr:nvSpPr>
      <xdr:spPr>
        <a:xfrm>
          <a:off x="5299894" y="2645073"/>
          <a:ext cx="6734735" cy="187579"/>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615350</xdr:colOff>
      <xdr:row>21</xdr:row>
      <xdr:rowOff>57980</xdr:rowOff>
    </xdr:from>
    <xdr:to>
      <xdr:col>15</xdr:col>
      <xdr:colOff>422413</xdr:colOff>
      <xdr:row>22</xdr:row>
      <xdr:rowOff>74544</xdr:rowOff>
    </xdr:to>
    <xdr:sp macro="" textlink="">
      <xdr:nvSpPr>
        <xdr:cNvPr id="75" name="Rechteck 74">
          <a:extLst>
            <a:ext uri="{FF2B5EF4-FFF2-40B4-BE49-F238E27FC236}">
              <a16:creationId xmlns:a16="http://schemas.microsoft.com/office/drawing/2014/main" id="{00000000-0008-0000-0200-00004B000000}"/>
            </a:ext>
          </a:extLst>
        </xdr:cNvPr>
        <xdr:cNvSpPr/>
      </xdr:nvSpPr>
      <xdr:spPr>
        <a:xfrm>
          <a:off x="3663350" y="4133023"/>
          <a:ext cx="8189063" cy="207064"/>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620222</xdr:colOff>
      <xdr:row>22</xdr:row>
      <xdr:rowOff>67236</xdr:rowOff>
    </xdr:from>
    <xdr:to>
      <xdr:col>5</xdr:col>
      <xdr:colOff>414130</xdr:colOff>
      <xdr:row>23</xdr:row>
      <xdr:rowOff>156883</xdr:rowOff>
    </xdr:to>
    <xdr:sp macro="" textlink="">
      <xdr:nvSpPr>
        <xdr:cNvPr id="76" name="Rechteck 75">
          <a:extLst>
            <a:ext uri="{FF2B5EF4-FFF2-40B4-BE49-F238E27FC236}">
              <a16:creationId xmlns:a16="http://schemas.microsoft.com/office/drawing/2014/main" id="{00000000-0008-0000-0200-00004C000000}"/>
            </a:ext>
          </a:extLst>
        </xdr:cNvPr>
        <xdr:cNvSpPr/>
      </xdr:nvSpPr>
      <xdr:spPr>
        <a:xfrm>
          <a:off x="3668222" y="4332779"/>
          <a:ext cx="55590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127163</xdr:colOff>
      <xdr:row>12</xdr:row>
      <xdr:rowOff>148600</xdr:rowOff>
    </xdr:from>
    <xdr:to>
      <xdr:col>6</xdr:col>
      <xdr:colOff>455542</xdr:colOff>
      <xdr:row>14</xdr:row>
      <xdr:rowOff>79096</xdr:rowOff>
    </xdr:to>
    <xdr:sp macro="" textlink="">
      <xdr:nvSpPr>
        <xdr:cNvPr id="77" name="Textfeld 76">
          <a:extLst>
            <a:ext uri="{FF2B5EF4-FFF2-40B4-BE49-F238E27FC236}">
              <a16:creationId xmlns:a16="http://schemas.microsoft.com/office/drawing/2014/main" id="{00000000-0008-0000-0200-00004D000000}"/>
            </a:ext>
          </a:extLst>
        </xdr:cNvPr>
        <xdr:cNvSpPr txBox="1"/>
      </xdr:nvSpPr>
      <xdr:spPr>
        <a:xfrm>
          <a:off x="4699163" y="2434600"/>
          <a:ext cx="328379"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C2</a:t>
          </a:r>
        </a:p>
      </xdr:txBody>
    </xdr:sp>
    <xdr:clientData/>
  </xdr:twoCellAnchor>
  <xdr:twoCellAnchor>
    <xdr:from>
      <xdr:col>7</xdr:col>
      <xdr:colOff>171987</xdr:colOff>
      <xdr:row>21</xdr:row>
      <xdr:rowOff>151524</xdr:rowOff>
    </xdr:from>
    <xdr:to>
      <xdr:col>7</xdr:col>
      <xdr:colOff>538370</xdr:colOff>
      <xdr:row>23</xdr:row>
      <xdr:rowOff>82020</xdr:rowOff>
    </xdr:to>
    <xdr:sp macro="" textlink="">
      <xdr:nvSpPr>
        <xdr:cNvPr id="78" name="Textfeld 77">
          <a:extLst>
            <a:ext uri="{FF2B5EF4-FFF2-40B4-BE49-F238E27FC236}">
              <a16:creationId xmlns:a16="http://schemas.microsoft.com/office/drawing/2014/main" id="{00000000-0008-0000-0200-00004E000000}"/>
            </a:ext>
          </a:extLst>
        </xdr:cNvPr>
        <xdr:cNvSpPr txBox="1"/>
      </xdr:nvSpPr>
      <xdr:spPr>
        <a:xfrm>
          <a:off x="5505987" y="4226567"/>
          <a:ext cx="36638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B2</a:t>
          </a:r>
        </a:p>
      </xdr:txBody>
    </xdr:sp>
    <xdr:clientData/>
  </xdr:twoCellAnchor>
</xdr:wsDr>
</file>

<file path=xl/drawings/drawing20.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5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5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1.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6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6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2.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7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7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3.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8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8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4.xml><?xml version="1.0" encoding="utf-8"?>
<xdr:wsDr xmlns:xdr="http://schemas.openxmlformats.org/drawingml/2006/spreadsheetDrawing" xmlns:a="http://schemas.openxmlformats.org/drawingml/2006/main">
  <xdr:oneCellAnchor>
    <xdr:from>
      <xdr:col>34</xdr:col>
      <xdr:colOff>699247</xdr:colOff>
      <xdr:row>6</xdr:row>
      <xdr:rowOff>0</xdr:rowOff>
    </xdr:from>
    <xdr:ext cx="2286000" cy="264560"/>
    <xdr:sp macro="" textlink="">
      <xdr:nvSpPr>
        <xdr:cNvPr id="2" name="Textfeld 1">
          <a:extLst>
            <a:ext uri="{FF2B5EF4-FFF2-40B4-BE49-F238E27FC236}">
              <a16:creationId xmlns:a16="http://schemas.microsoft.com/office/drawing/2014/main" id="{00000000-0008-0000-19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9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5.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1A00-000002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00000000-0008-0000-1A00-000003000000}"/>
            </a:ext>
          </a:extLst>
        </xdr:cNvPr>
        <xdr:cNvSpPr txBox="1"/>
      </xdr:nvSpPr>
      <xdr:spPr>
        <a:xfrm>
          <a:off x="39856522"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4" name="Textfeld 3">
          <a:extLst>
            <a:ext uri="{FF2B5EF4-FFF2-40B4-BE49-F238E27FC236}">
              <a16:creationId xmlns:a16="http://schemas.microsoft.com/office/drawing/2014/main" id="{F890AC35-2000-419F-BB2C-F296AA564F80}"/>
            </a:ext>
          </a:extLst>
        </xdr:cNvPr>
        <xdr:cNvSpPr txBox="1"/>
      </xdr:nvSpPr>
      <xdr:spPr>
        <a:xfrm>
          <a:off x="39856522" y="1171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8</xdr:row>
      <xdr:rowOff>0</xdr:rowOff>
    </xdr:from>
    <xdr:ext cx="2286000" cy="264560"/>
    <xdr:sp macro="" textlink="">
      <xdr:nvSpPr>
        <xdr:cNvPr id="5" name="Textfeld 4">
          <a:extLst>
            <a:ext uri="{FF2B5EF4-FFF2-40B4-BE49-F238E27FC236}">
              <a16:creationId xmlns:a16="http://schemas.microsoft.com/office/drawing/2014/main" id="{45C85518-C1D2-455C-BE69-3D3B9C3CC814}"/>
            </a:ext>
          </a:extLst>
        </xdr:cNvPr>
        <xdr:cNvSpPr txBox="1"/>
      </xdr:nvSpPr>
      <xdr:spPr>
        <a:xfrm>
          <a:off x="39856522"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6.xml><?xml version="1.0" encoding="utf-8"?>
<xdr:wsDr xmlns:xdr="http://schemas.openxmlformats.org/drawingml/2006/spreadsheetDrawing" xmlns:a="http://schemas.openxmlformats.org/drawingml/2006/main">
  <xdr:oneCellAnchor>
    <xdr:from>
      <xdr:col>34</xdr:col>
      <xdr:colOff>699247</xdr:colOff>
      <xdr:row>9</xdr:row>
      <xdr:rowOff>0</xdr:rowOff>
    </xdr:from>
    <xdr:ext cx="2286000" cy="264560"/>
    <xdr:sp macro="" textlink="">
      <xdr:nvSpPr>
        <xdr:cNvPr id="2" name="Textfeld 1">
          <a:extLst>
            <a:ext uri="{FF2B5EF4-FFF2-40B4-BE49-F238E27FC236}">
              <a16:creationId xmlns:a16="http://schemas.microsoft.com/office/drawing/2014/main" id="{00000000-0008-0000-1B00-000002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00000000-0008-0000-1B00-000003000000}"/>
            </a:ext>
          </a:extLst>
        </xdr:cNvPr>
        <xdr:cNvSpPr txBox="1"/>
      </xdr:nvSpPr>
      <xdr:spPr>
        <a:xfrm>
          <a:off x="39856522"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7.xml><?xml version="1.0" encoding="utf-8"?>
<xdr:wsDr xmlns:xdr="http://schemas.openxmlformats.org/drawingml/2006/spreadsheetDrawing" xmlns:a="http://schemas.openxmlformats.org/drawingml/2006/main">
  <xdr:oneCellAnchor>
    <xdr:from>
      <xdr:col>34</xdr:col>
      <xdr:colOff>699247</xdr:colOff>
      <xdr:row>9</xdr:row>
      <xdr:rowOff>0</xdr:rowOff>
    </xdr:from>
    <xdr:ext cx="2286000" cy="264560"/>
    <xdr:sp macro="" textlink="">
      <xdr:nvSpPr>
        <xdr:cNvPr id="2" name="Textfeld 1">
          <a:extLst>
            <a:ext uri="{FF2B5EF4-FFF2-40B4-BE49-F238E27FC236}">
              <a16:creationId xmlns:a16="http://schemas.microsoft.com/office/drawing/2014/main" id="{00000000-0008-0000-1C00-000002000000}"/>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12</xdr:row>
      <xdr:rowOff>0</xdr:rowOff>
    </xdr:from>
    <xdr:ext cx="2286000" cy="264560"/>
    <xdr:sp macro="" textlink="">
      <xdr:nvSpPr>
        <xdr:cNvPr id="3" name="Textfeld 2">
          <a:extLst>
            <a:ext uri="{FF2B5EF4-FFF2-40B4-BE49-F238E27FC236}">
              <a16:creationId xmlns:a16="http://schemas.microsoft.com/office/drawing/2014/main" id="{00000000-0008-0000-1C00-000003000000}"/>
            </a:ext>
          </a:extLst>
        </xdr:cNvPr>
        <xdr:cNvSpPr txBox="1"/>
      </xdr:nvSpPr>
      <xdr:spPr>
        <a:xfrm>
          <a:off x="39856522"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4" name="Textfeld 3">
          <a:extLst>
            <a:ext uri="{FF2B5EF4-FFF2-40B4-BE49-F238E27FC236}">
              <a16:creationId xmlns:a16="http://schemas.microsoft.com/office/drawing/2014/main" id="{1F8EEB1E-9C77-438D-9C39-3A61E4C26B0D}"/>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8.xml><?xml version="1.0" encoding="utf-8"?>
<xdr:wsDr xmlns:xdr="http://schemas.openxmlformats.org/drawingml/2006/spreadsheetDrawing" xmlns:a="http://schemas.openxmlformats.org/drawingml/2006/main">
  <xdr:oneCellAnchor>
    <xdr:from>
      <xdr:col>34</xdr:col>
      <xdr:colOff>699247</xdr:colOff>
      <xdr:row>9</xdr:row>
      <xdr:rowOff>0</xdr:rowOff>
    </xdr:from>
    <xdr:ext cx="2286000" cy="264560"/>
    <xdr:sp macro="" textlink="">
      <xdr:nvSpPr>
        <xdr:cNvPr id="2" name="Textfeld 1">
          <a:extLst>
            <a:ext uri="{FF2B5EF4-FFF2-40B4-BE49-F238E27FC236}">
              <a16:creationId xmlns:a16="http://schemas.microsoft.com/office/drawing/2014/main" id="{00000000-0008-0000-1D00-000002000000}"/>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00000000-0008-0000-1D00-000003000000}"/>
            </a:ext>
          </a:extLst>
        </xdr:cNvPr>
        <xdr:cNvSpPr txBox="1"/>
      </xdr:nvSpPr>
      <xdr:spPr>
        <a:xfrm>
          <a:off x="39856522"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9.xml><?xml version="1.0" encoding="utf-8"?>
<xdr:wsDr xmlns:xdr="http://schemas.openxmlformats.org/drawingml/2006/spreadsheetDrawing" xmlns:a="http://schemas.openxmlformats.org/drawingml/2006/main">
  <xdr:oneCellAnchor>
    <xdr:from>
      <xdr:col>34</xdr:col>
      <xdr:colOff>699247</xdr:colOff>
      <xdr:row>6</xdr:row>
      <xdr:rowOff>0</xdr:rowOff>
    </xdr:from>
    <xdr:ext cx="2286000" cy="264560"/>
    <xdr:sp macro="" textlink="">
      <xdr:nvSpPr>
        <xdr:cNvPr id="2" name="Textfeld 1">
          <a:extLst>
            <a:ext uri="{FF2B5EF4-FFF2-40B4-BE49-F238E27FC236}">
              <a16:creationId xmlns:a16="http://schemas.microsoft.com/office/drawing/2014/main" id="{00000000-0008-0000-1E00-000002000000}"/>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E00-000003000000}"/>
            </a:ext>
          </a:extLst>
        </xdr:cNvPr>
        <xdr:cNvSpPr txBox="1"/>
      </xdr:nvSpPr>
      <xdr:spPr>
        <a:xfrm>
          <a:off x="39856522"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3.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4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4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4.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5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5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5.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6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6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6.xml><?xml version="1.0" encoding="utf-8"?>
<xdr:wsDr xmlns:xdr="http://schemas.openxmlformats.org/drawingml/2006/spreadsheetDrawing" xmlns:a="http://schemas.openxmlformats.org/drawingml/2006/main">
  <xdr:oneCellAnchor>
    <xdr:from>
      <xdr:col>34</xdr:col>
      <xdr:colOff>699247</xdr:colOff>
      <xdr:row>38</xdr:row>
      <xdr:rowOff>0</xdr:rowOff>
    </xdr:from>
    <xdr:ext cx="2286000" cy="264560"/>
    <xdr:sp macro="" textlink="">
      <xdr:nvSpPr>
        <xdr:cNvPr id="2" name="Textfeld 1">
          <a:extLst>
            <a:ext uri="{FF2B5EF4-FFF2-40B4-BE49-F238E27FC236}">
              <a16:creationId xmlns:a16="http://schemas.microsoft.com/office/drawing/2014/main" id="{00000000-0008-0000-07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3" name="Textfeld 2">
          <a:extLst>
            <a:ext uri="{FF2B5EF4-FFF2-40B4-BE49-F238E27FC236}">
              <a16:creationId xmlns:a16="http://schemas.microsoft.com/office/drawing/2014/main" id="{00000000-0008-0000-07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25</xdr:row>
      <xdr:rowOff>0</xdr:rowOff>
    </xdr:from>
    <xdr:ext cx="2286000" cy="264560"/>
    <xdr:sp macro="" textlink="">
      <xdr:nvSpPr>
        <xdr:cNvPr id="4" name="Textfeld 3">
          <a:extLst>
            <a:ext uri="{FF2B5EF4-FFF2-40B4-BE49-F238E27FC236}">
              <a16:creationId xmlns:a16="http://schemas.microsoft.com/office/drawing/2014/main" id="{55290326-545D-466E-8689-DECD47647FB1}"/>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33</xdr:row>
      <xdr:rowOff>0</xdr:rowOff>
    </xdr:from>
    <xdr:ext cx="2286000" cy="264560"/>
    <xdr:sp macro="" textlink="">
      <xdr:nvSpPr>
        <xdr:cNvPr id="5" name="Textfeld 4">
          <a:extLst>
            <a:ext uri="{FF2B5EF4-FFF2-40B4-BE49-F238E27FC236}">
              <a16:creationId xmlns:a16="http://schemas.microsoft.com/office/drawing/2014/main" id="{B26C99A3-195D-4662-8714-03E19845E25D}"/>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7.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800-000002000000}"/>
            </a:ext>
          </a:extLst>
        </xdr:cNvPr>
        <xdr:cNvSpPr txBox="1"/>
      </xdr:nvSpPr>
      <xdr:spPr>
        <a:xfrm>
          <a:off x="37275247" y="1171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800-000003000000}"/>
            </a:ext>
          </a:extLst>
        </xdr:cNvPr>
        <xdr:cNvSpPr txBox="1"/>
      </xdr:nvSpPr>
      <xdr:spPr>
        <a:xfrm>
          <a:off x="40085122" y="988219"/>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8.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9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9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9.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0A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00000000-0008-0000-0A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3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0"/>
  <sheetViews>
    <sheetView workbookViewId="0">
      <selection activeCell="B13" sqref="B13"/>
    </sheetView>
  </sheetViews>
  <sheetFormatPr baseColWidth="10" defaultRowHeight="15" x14ac:dyDescent="0.25"/>
  <cols>
    <col min="2" max="2" width="81.28515625" customWidth="1"/>
  </cols>
  <sheetData>
    <row r="1" spans="1:2" x14ac:dyDescent="0.25">
      <c r="A1" s="11" t="s">
        <v>36</v>
      </c>
      <c r="B1" s="12"/>
    </row>
    <row r="2" spans="1:2" x14ac:dyDescent="0.25">
      <c r="B2" s="12"/>
    </row>
    <row r="3" spans="1:2" ht="48" customHeight="1" x14ac:dyDescent="0.25">
      <c r="B3" s="12" t="s">
        <v>39</v>
      </c>
    </row>
    <row r="4" spans="1:2" x14ac:dyDescent="0.25">
      <c r="B4" s="12"/>
    </row>
    <row r="5" spans="1:2" ht="30" x14ac:dyDescent="0.25">
      <c r="B5" s="12" t="s">
        <v>40</v>
      </c>
    </row>
    <row r="6" spans="1:2" x14ac:dyDescent="0.25">
      <c r="B6" s="12" t="s">
        <v>41</v>
      </c>
    </row>
    <row r="7" spans="1:2" x14ac:dyDescent="0.25">
      <c r="B7" s="12"/>
    </row>
    <row r="8" spans="1:2" x14ac:dyDescent="0.25">
      <c r="B8" s="12"/>
    </row>
    <row r="9" spans="1:2" x14ac:dyDescent="0.25">
      <c r="B9" s="12"/>
    </row>
    <row r="10" spans="1:2" x14ac:dyDescent="0.25">
      <c r="B10" s="12"/>
    </row>
    <row r="11" spans="1:2" x14ac:dyDescent="0.25">
      <c r="B11" s="12"/>
    </row>
    <row r="12" spans="1:2" x14ac:dyDescent="0.25">
      <c r="B12" s="12"/>
    </row>
    <row r="13" spans="1:2" x14ac:dyDescent="0.25">
      <c r="B13" s="12"/>
    </row>
    <row r="14" spans="1:2" x14ac:dyDescent="0.25">
      <c r="B14" s="12"/>
    </row>
    <row r="15" spans="1:2" x14ac:dyDescent="0.25">
      <c r="B15" s="12"/>
    </row>
    <row r="16" spans="1:2" x14ac:dyDescent="0.25">
      <c r="B16" s="12"/>
    </row>
    <row r="17" spans="2:2" x14ac:dyDescent="0.25">
      <c r="B17" s="12"/>
    </row>
    <row r="18" spans="2:2" x14ac:dyDescent="0.25">
      <c r="B18" s="12"/>
    </row>
    <row r="19" spans="2:2" x14ac:dyDescent="0.25">
      <c r="B19" s="12"/>
    </row>
    <row r="20" spans="2:2" x14ac:dyDescent="0.25">
      <c r="B20" s="12"/>
    </row>
  </sheetData>
  <pageMargins left="0.7" right="0.7" top="0.78740157499999996" bottom="0.78740157499999996" header="0.3" footer="0.3"/>
  <pageSetup paperSize="9" orientation="portrait" horizontalDpi="1200" verticalDpi="120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5"/>
  <sheetViews>
    <sheetView zoomScaleNormal="100" workbookViewId="0">
      <pane xSplit="4" ySplit="1" topLeftCell="I2" activePane="bottomRight" state="frozen"/>
      <selection pane="topRight" activeCell="F1" sqref="F1"/>
      <selection pane="bottomLeft" activeCell="A2" sqref="A2"/>
      <selection pane="bottomRight" activeCell="C2" sqref="C2:C37"/>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50</v>
      </c>
      <c r="D2" s="16" t="s">
        <v>111</v>
      </c>
      <c r="F2">
        <v>10.94</v>
      </c>
      <c r="G2" t="s">
        <v>44</v>
      </c>
      <c r="H2">
        <v>0</v>
      </c>
      <c r="I2">
        <v>14.55</v>
      </c>
      <c r="L2">
        <f>Constants!$B$2</f>
        <v>2.8</v>
      </c>
      <c r="M2" t="str">
        <f t="shared" ref="M2:M36" si="0">IF(N2&gt;0,G2,"N/A")</f>
        <v>N/A</v>
      </c>
      <c r="N2">
        <f>P2*Constants!$E$2</f>
        <v>0</v>
      </c>
      <c r="P2">
        <f>H2</f>
        <v>0</v>
      </c>
      <c r="Q2">
        <f>P2*Constants!$B$3</f>
        <v>0</v>
      </c>
      <c r="R2">
        <f>IF(Q2-N2&lt;=0, 0, Q2-N2)</f>
        <v>0</v>
      </c>
      <c r="S2">
        <f>I2-P2</f>
        <v>14.55</v>
      </c>
      <c r="T2">
        <f>S2*Constants!$B$2</f>
        <v>40.74</v>
      </c>
      <c r="V2">
        <f>IF(B2="E",1,0)</f>
        <v>0</v>
      </c>
      <c r="W2">
        <f>IF(B2=10,1,0)</f>
        <v>0</v>
      </c>
      <c r="AA2" s="8"/>
      <c r="AJ2" s="4"/>
    </row>
    <row r="3" spans="1:40" x14ac:dyDescent="0.25">
      <c r="A3">
        <v>2</v>
      </c>
      <c r="B3">
        <v>7</v>
      </c>
      <c r="C3" t="s">
        <v>45</v>
      </c>
      <c r="D3" s="16" t="s">
        <v>112</v>
      </c>
      <c r="F3">
        <v>20.13</v>
      </c>
      <c r="G3" t="s">
        <v>44</v>
      </c>
      <c r="H3">
        <v>0</v>
      </c>
      <c r="I3">
        <v>22.05</v>
      </c>
      <c r="L3">
        <f>Constants!$B$2</f>
        <v>2.8</v>
      </c>
      <c r="M3" t="str">
        <f t="shared" si="0"/>
        <v>N/A</v>
      </c>
      <c r="N3">
        <f>P3*Constants!$E$2</f>
        <v>0</v>
      </c>
      <c r="P3">
        <f t="shared" ref="P3:P36" si="1">H3</f>
        <v>0</v>
      </c>
      <c r="Q3">
        <f>P3*Constants!$B$3</f>
        <v>0</v>
      </c>
      <c r="R3">
        <f t="shared" ref="R3:R36" si="2">IF(Q3-N3&lt;=0, 0, Q3-N3)</f>
        <v>0</v>
      </c>
      <c r="S3">
        <f t="shared" ref="S3:S36" si="3">I3-P3</f>
        <v>22.05</v>
      </c>
      <c r="T3">
        <f>S3*Constants!$B$2</f>
        <v>61.739999999999995</v>
      </c>
      <c r="V3">
        <f t="shared" ref="V3:V36" si="4">IF(B3="E",1,0)</f>
        <v>0</v>
      </c>
      <c r="W3">
        <f t="shared" ref="W3:W36" si="5">IF(B3=10,1,0)</f>
        <v>0</v>
      </c>
      <c r="AA3" s="8"/>
      <c r="AJ3" s="4"/>
    </row>
    <row r="4" spans="1:40" x14ac:dyDescent="0.25">
      <c r="A4">
        <v>3</v>
      </c>
      <c r="B4">
        <v>7</v>
      </c>
      <c r="C4" t="s">
        <v>824</v>
      </c>
      <c r="D4" s="16" t="s">
        <v>113</v>
      </c>
      <c r="F4">
        <v>21.89</v>
      </c>
      <c r="G4">
        <v>90</v>
      </c>
      <c r="H4">
        <v>3</v>
      </c>
      <c r="I4">
        <f>21.66</f>
        <v>21.66</v>
      </c>
      <c r="L4">
        <f>Constants!$B$2</f>
        <v>2.8</v>
      </c>
      <c r="M4">
        <f t="shared" si="0"/>
        <v>90</v>
      </c>
      <c r="N4">
        <f>P4*Constants!$E$2</f>
        <v>5.0999999999999996</v>
      </c>
      <c r="P4">
        <f t="shared" si="1"/>
        <v>3</v>
      </c>
      <c r="Q4">
        <f>P4*Constants!$B$3</f>
        <v>12.599999999999998</v>
      </c>
      <c r="R4">
        <f t="shared" si="2"/>
        <v>7.4999999999999982</v>
      </c>
      <c r="S4">
        <f t="shared" si="3"/>
        <v>18.66</v>
      </c>
      <c r="T4">
        <f>S4*Constants!$B$2</f>
        <v>52.247999999999998</v>
      </c>
      <c r="V4">
        <f t="shared" si="4"/>
        <v>0</v>
      </c>
      <c r="W4">
        <f t="shared" si="5"/>
        <v>0</v>
      </c>
      <c r="AA4" s="8"/>
      <c r="AJ4" s="4"/>
    </row>
    <row r="5" spans="1:40" x14ac:dyDescent="0.25">
      <c r="A5">
        <v>4</v>
      </c>
      <c r="B5">
        <v>7</v>
      </c>
      <c r="C5" t="s">
        <v>50</v>
      </c>
      <c r="D5" s="16" t="s">
        <v>114</v>
      </c>
      <c r="F5">
        <v>5.35</v>
      </c>
      <c r="G5" t="s">
        <v>44</v>
      </c>
      <c r="H5">
        <v>0</v>
      </c>
      <c r="I5">
        <v>10</v>
      </c>
      <c r="L5">
        <f>Constants!$B$2</f>
        <v>2.8</v>
      </c>
      <c r="M5" t="str">
        <f t="shared" si="0"/>
        <v>N/A</v>
      </c>
      <c r="N5">
        <f>P5*Constants!$E$2</f>
        <v>0</v>
      </c>
      <c r="P5">
        <f t="shared" si="1"/>
        <v>0</v>
      </c>
      <c r="Q5">
        <f>P5*Constants!$B$3</f>
        <v>0</v>
      </c>
      <c r="R5">
        <f t="shared" si="2"/>
        <v>0</v>
      </c>
      <c r="S5">
        <f t="shared" si="3"/>
        <v>10</v>
      </c>
      <c r="T5">
        <f>S5*Constants!$B$2</f>
        <v>28</v>
      </c>
      <c r="V5">
        <f t="shared" si="4"/>
        <v>0</v>
      </c>
      <c r="W5">
        <f t="shared" si="5"/>
        <v>0</v>
      </c>
      <c r="AA5" s="8"/>
      <c r="AJ5" s="4"/>
    </row>
    <row r="6" spans="1:40" x14ac:dyDescent="0.25">
      <c r="A6">
        <v>5</v>
      </c>
      <c r="B6">
        <v>7</v>
      </c>
      <c r="C6" t="s">
        <v>824</v>
      </c>
      <c r="D6" s="16" t="s">
        <v>115</v>
      </c>
      <c r="F6">
        <v>22.26</v>
      </c>
      <c r="G6">
        <v>90</v>
      </c>
      <c r="H6">
        <v>3.6</v>
      </c>
      <c r="I6">
        <f>21.76</f>
        <v>21.76</v>
      </c>
      <c r="L6">
        <f>Constants!$B$2</f>
        <v>2.8</v>
      </c>
      <c r="M6">
        <f t="shared" si="0"/>
        <v>90</v>
      </c>
      <c r="N6">
        <f>P6*Constants!$E$2</f>
        <v>6.12</v>
      </c>
      <c r="P6">
        <f t="shared" si="1"/>
        <v>3.6</v>
      </c>
      <c r="Q6">
        <f>P6*Constants!$B$3</f>
        <v>15.119999999999997</v>
      </c>
      <c r="R6">
        <f t="shared" si="2"/>
        <v>8.9999999999999964</v>
      </c>
      <c r="S6">
        <f t="shared" si="3"/>
        <v>18.16</v>
      </c>
      <c r="T6">
        <f>S6*Constants!$B$2</f>
        <v>50.847999999999999</v>
      </c>
      <c r="V6">
        <f t="shared" si="4"/>
        <v>0</v>
      </c>
      <c r="W6">
        <f t="shared" si="5"/>
        <v>0</v>
      </c>
      <c r="AA6" s="8"/>
      <c r="AJ6" s="4"/>
    </row>
    <row r="7" spans="1:40" x14ac:dyDescent="0.25">
      <c r="A7">
        <v>6</v>
      </c>
      <c r="B7">
        <v>7</v>
      </c>
      <c r="C7" t="s">
        <v>824</v>
      </c>
      <c r="D7" s="16" t="s">
        <v>116</v>
      </c>
      <c r="F7">
        <v>22.55</v>
      </c>
      <c r="G7">
        <v>90</v>
      </c>
      <c r="H7">
        <v>3.6</v>
      </c>
      <c r="I7">
        <f>21.76</f>
        <v>21.76</v>
      </c>
      <c r="L7">
        <f>Constants!$B$2</f>
        <v>2.8</v>
      </c>
      <c r="M7">
        <f t="shared" si="0"/>
        <v>90</v>
      </c>
      <c r="N7">
        <f>P7*Constants!$E$2</f>
        <v>6.12</v>
      </c>
      <c r="P7">
        <f t="shared" si="1"/>
        <v>3.6</v>
      </c>
      <c r="Q7">
        <f>P7*Constants!$B$3</f>
        <v>15.119999999999997</v>
      </c>
      <c r="R7">
        <f t="shared" si="2"/>
        <v>8.9999999999999964</v>
      </c>
      <c r="S7">
        <f t="shared" si="3"/>
        <v>18.16</v>
      </c>
      <c r="T7">
        <f>S7*Constants!$B$2</f>
        <v>50.847999999999999</v>
      </c>
      <c r="V7">
        <f t="shared" si="4"/>
        <v>0</v>
      </c>
      <c r="W7">
        <f t="shared" si="5"/>
        <v>0</v>
      </c>
      <c r="AA7" s="8"/>
      <c r="AJ7" s="4"/>
    </row>
    <row r="8" spans="1:40" x14ac:dyDescent="0.25">
      <c r="A8">
        <v>7</v>
      </c>
      <c r="B8">
        <v>7</v>
      </c>
      <c r="C8" t="s">
        <v>57</v>
      </c>
      <c r="D8" s="16" t="s">
        <v>117</v>
      </c>
      <c r="E8" s="16" t="s">
        <v>81</v>
      </c>
      <c r="F8">
        <v>2.4</v>
      </c>
      <c r="G8" t="s">
        <v>44</v>
      </c>
      <c r="H8">
        <v>0</v>
      </c>
      <c r="I8">
        <v>6.55</v>
      </c>
      <c r="L8">
        <f>Constants!$B$2</f>
        <v>2.8</v>
      </c>
      <c r="M8" t="str">
        <f t="shared" si="0"/>
        <v>N/A</v>
      </c>
      <c r="N8">
        <f>P8*Constants!$E$2</f>
        <v>0</v>
      </c>
      <c r="P8">
        <f t="shared" ref="P8:P14" si="6">H8</f>
        <v>0</v>
      </c>
      <c r="Q8">
        <f>P8*Constants!$B$3</f>
        <v>0</v>
      </c>
      <c r="R8">
        <f t="shared" si="2"/>
        <v>0</v>
      </c>
      <c r="S8">
        <f t="shared" ref="S8:S14" si="7">I8-P8</f>
        <v>6.55</v>
      </c>
      <c r="T8">
        <f>S8*Constants!$B$2</f>
        <v>18.34</v>
      </c>
      <c r="V8">
        <f t="shared" si="4"/>
        <v>0</v>
      </c>
      <c r="W8">
        <f t="shared" si="5"/>
        <v>0</v>
      </c>
      <c r="AA8" s="8"/>
      <c r="AJ8" s="4"/>
    </row>
    <row r="9" spans="1:40" x14ac:dyDescent="0.25">
      <c r="A9">
        <v>8</v>
      </c>
      <c r="B9">
        <v>7</v>
      </c>
      <c r="C9" t="s">
        <v>54</v>
      </c>
      <c r="D9" s="16" t="s">
        <v>118</v>
      </c>
      <c r="F9">
        <v>17.72</v>
      </c>
      <c r="G9">
        <v>90</v>
      </c>
      <c r="H9">
        <v>3</v>
      </c>
      <c r="I9">
        <v>18.46</v>
      </c>
      <c r="L9">
        <f>Constants!$B$2</f>
        <v>2.8</v>
      </c>
      <c r="M9">
        <f t="shared" si="0"/>
        <v>90</v>
      </c>
      <c r="N9">
        <f>P9*Constants!$E$2</f>
        <v>5.0999999999999996</v>
      </c>
      <c r="P9">
        <f t="shared" si="6"/>
        <v>3</v>
      </c>
      <c r="Q9">
        <f>P9*Constants!$B$3</f>
        <v>12.599999999999998</v>
      </c>
      <c r="R9">
        <f t="shared" si="2"/>
        <v>7.4999999999999982</v>
      </c>
      <c r="S9">
        <f t="shared" si="7"/>
        <v>15.46</v>
      </c>
      <c r="T9">
        <f>S9*Constants!$B$2</f>
        <v>43.287999999999997</v>
      </c>
      <c r="V9">
        <f t="shared" si="4"/>
        <v>0</v>
      </c>
      <c r="W9">
        <f t="shared" si="5"/>
        <v>0</v>
      </c>
      <c r="AA9" s="8"/>
      <c r="AJ9" s="4"/>
    </row>
    <row r="10" spans="1:40" x14ac:dyDescent="0.25">
      <c r="A10">
        <v>9</v>
      </c>
      <c r="B10">
        <v>7</v>
      </c>
      <c r="C10" t="s">
        <v>54</v>
      </c>
      <c r="D10" s="16" t="s">
        <v>119</v>
      </c>
      <c r="F10">
        <v>17.91</v>
      </c>
      <c r="G10">
        <v>90</v>
      </c>
      <c r="H10">
        <v>3</v>
      </c>
      <c r="I10">
        <v>19.059999999999999</v>
      </c>
      <c r="L10">
        <f>Constants!$B$2</f>
        <v>2.8</v>
      </c>
      <c r="M10">
        <f t="shared" si="0"/>
        <v>90</v>
      </c>
      <c r="N10">
        <f>P10*Constants!$E$2</f>
        <v>5.0999999999999996</v>
      </c>
      <c r="P10">
        <f t="shared" si="6"/>
        <v>3</v>
      </c>
      <c r="Q10">
        <f>P10*Constants!$B$3</f>
        <v>12.599999999999998</v>
      </c>
      <c r="R10">
        <f t="shared" si="2"/>
        <v>7.4999999999999982</v>
      </c>
      <c r="S10">
        <f t="shared" si="7"/>
        <v>16.059999999999999</v>
      </c>
      <c r="T10">
        <f>S10*Constants!$B$2</f>
        <v>44.967999999999996</v>
      </c>
      <c r="V10">
        <f t="shared" si="4"/>
        <v>0</v>
      </c>
      <c r="W10">
        <f t="shared" si="5"/>
        <v>0</v>
      </c>
      <c r="AA10" s="8"/>
      <c r="AJ10" s="4"/>
    </row>
    <row r="11" spans="1:40" x14ac:dyDescent="0.25">
      <c r="A11">
        <v>10</v>
      </c>
      <c r="B11">
        <v>7</v>
      </c>
      <c r="C11" t="s">
        <v>55</v>
      </c>
      <c r="D11" s="16" t="s">
        <v>120</v>
      </c>
      <c r="F11">
        <v>14.02</v>
      </c>
      <c r="G11">
        <v>90</v>
      </c>
      <c r="H11">
        <v>0</v>
      </c>
      <c r="I11">
        <v>17.559999999999999</v>
      </c>
      <c r="L11">
        <f>Constants!$B$2</f>
        <v>2.8</v>
      </c>
      <c r="M11" t="str">
        <f t="shared" si="0"/>
        <v>N/A</v>
      </c>
      <c r="N11">
        <f>P11*Constants!$E$2</f>
        <v>0</v>
      </c>
      <c r="P11">
        <f t="shared" si="6"/>
        <v>0</v>
      </c>
      <c r="Q11">
        <f>P11*Constants!$B$3</f>
        <v>0</v>
      </c>
      <c r="R11">
        <f t="shared" si="2"/>
        <v>0</v>
      </c>
      <c r="S11">
        <f t="shared" si="7"/>
        <v>17.559999999999999</v>
      </c>
      <c r="T11">
        <f>S11*Constants!$B$2</f>
        <v>49.167999999999992</v>
      </c>
      <c r="V11">
        <f t="shared" si="4"/>
        <v>0</v>
      </c>
      <c r="W11">
        <f t="shared" si="5"/>
        <v>0</v>
      </c>
      <c r="AA11" s="8"/>
      <c r="AJ11" s="4"/>
    </row>
    <row r="12" spans="1:40" x14ac:dyDescent="0.25">
      <c r="A12">
        <v>11</v>
      </c>
      <c r="B12">
        <v>7</v>
      </c>
      <c r="C12" t="s">
        <v>824</v>
      </c>
      <c r="D12" s="16" t="s">
        <v>121</v>
      </c>
      <c r="F12">
        <v>23.18</v>
      </c>
      <c r="G12">
        <v>90</v>
      </c>
      <c r="H12">
        <v>3.6</v>
      </c>
      <c r="I12">
        <v>21.76</v>
      </c>
      <c r="L12">
        <f>Constants!$B$2</f>
        <v>2.8</v>
      </c>
      <c r="M12">
        <f t="shared" si="0"/>
        <v>90</v>
      </c>
      <c r="N12">
        <f>P12*Constants!$E$2</f>
        <v>6.12</v>
      </c>
      <c r="P12">
        <f t="shared" si="6"/>
        <v>3.6</v>
      </c>
      <c r="Q12">
        <f>P12*Constants!$B$3</f>
        <v>15.119999999999997</v>
      </c>
      <c r="R12">
        <f t="shared" si="2"/>
        <v>8.9999999999999964</v>
      </c>
      <c r="S12">
        <f t="shared" si="7"/>
        <v>18.16</v>
      </c>
      <c r="T12">
        <f>S12*Constants!$B$2</f>
        <v>50.847999999999999</v>
      </c>
      <c r="V12">
        <f t="shared" si="4"/>
        <v>0</v>
      </c>
      <c r="W12">
        <f t="shared" si="5"/>
        <v>0</v>
      </c>
      <c r="AA12" s="8"/>
      <c r="AJ12" s="4"/>
    </row>
    <row r="13" spans="1:40" x14ac:dyDescent="0.25">
      <c r="A13">
        <v>12</v>
      </c>
      <c r="B13">
        <v>7</v>
      </c>
      <c r="C13" t="s">
        <v>57</v>
      </c>
      <c r="D13" s="16" t="s">
        <v>122</v>
      </c>
      <c r="E13" s="16" t="s">
        <v>85</v>
      </c>
      <c r="F13">
        <v>4.08</v>
      </c>
      <c r="G13" t="s">
        <v>44</v>
      </c>
      <c r="H13">
        <v>0</v>
      </c>
      <c r="I13">
        <v>8.76</v>
      </c>
      <c r="L13">
        <f>Constants!$B$2</f>
        <v>2.8</v>
      </c>
      <c r="M13" t="str">
        <f t="shared" si="0"/>
        <v>N/A</v>
      </c>
      <c r="N13">
        <f>P13*Constants!$E$2</f>
        <v>0</v>
      </c>
      <c r="P13">
        <f t="shared" si="6"/>
        <v>0</v>
      </c>
      <c r="Q13">
        <f>P13*Constants!$B$3</f>
        <v>0</v>
      </c>
      <c r="R13">
        <f t="shared" si="2"/>
        <v>0</v>
      </c>
      <c r="S13">
        <f t="shared" si="7"/>
        <v>8.76</v>
      </c>
      <c r="T13">
        <f>S13*Constants!$B$2</f>
        <v>24.527999999999999</v>
      </c>
      <c r="V13">
        <f t="shared" si="4"/>
        <v>0</v>
      </c>
      <c r="W13">
        <f t="shared" si="5"/>
        <v>0</v>
      </c>
      <c r="AA13" s="8"/>
      <c r="AJ13" s="4"/>
    </row>
    <row r="14" spans="1:40" x14ac:dyDescent="0.25">
      <c r="A14">
        <v>13</v>
      </c>
      <c r="B14">
        <v>7</v>
      </c>
      <c r="C14" t="s">
        <v>824</v>
      </c>
      <c r="D14" s="16" t="s">
        <v>123</v>
      </c>
      <c r="F14">
        <v>23.18</v>
      </c>
      <c r="G14">
        <v>90</v>
      </c>
      <c r="H14">
        <v>3.6</v>
      </c>
      <c r="I14">
        <v>21.76</v>
      </c>
      <c r="L14">
        <f>Constants!$B$2</f>
        <v>2.8</v>
      </c>
      <c r="M14">
        <f t="shared" si="0"/>
        <v>90</v>
      </c>
      <c r="N14">
        <f>P14*Constants!$E$2</f>
        <v>6.12</v>
      </c>
      <c r="P14">
        <f t="shared" si="6"/>
        <v>3.6</v>
      </c>
      <c r="Q14">
        <f>P14*Constants!$B$3</f>
        <v>15.119999999999997</v>
      </c>
      <c r="R14">
        <f t="shared" si="2"/>
        <v>8.9999999999999964</v>
      </c>
      <c r="S14">
        <f t="shared" si="7"/>
        <v>18.16</v>
      </c>
      <c r="T14">
        <f>S14*Constants!$B$2</f>
        <v>50.847999999999999</v>
      </c>
      <c r="V14">
        <f t="shared" si="4"/>
        <v>0</v>
      </c>
      <c r="W14">
        <f t="shared" si="5"/>
        <v>0</v>
      </c>
      <c r="AA14" s="8"/>
      <c r="AJ14" s="4"/>
    </row>
    <row r="15" spans="1:40" x14ac:dyDescent="0.25">
      <c r="A15">
        <v>14</v>
      </c>
      <c r="B15">
        <v>7</v>
      </c>
      <c r="C15" t="s">
        <v>824</v>
      </c>
      <c r="D15" s="16" t="s">
        <v>124</v>
      </c>
      <c r="F15">
        <v>23.18</v>
      </c>
      <c r="G15">
        <v>90</v>
      </c>
      <c r="H15">
        <v>3.6</v>
      </c>
      <c r="I15">
        <v>21.76</v>
      </c>
      <c r="L15">
        <f>Constants!$B$2</f>
        <v>2.8</v>
      </c>
      <c r="M15">
        <f t="shared" si="0"/>
        <v>90</v>
      </c>
      <c r="N15">
        <f>P15*Constants!$E$2</f>
        <v>6.12</v>
      </c>
      <c r="P15">
        <f t="shared" si="1"/>
        <v>3.6</v>
      </c>
      <c r="Q15">
        <f>P15*Constants!$B$3</f>
        <v>15.119999999999997</v>
      </c>
      <c r="R15">
        <f t="shared" si="2"/>
        <v>8.9999999999999964</v>
      </c>
      <c r="S15">
        <f t="shared" si="3"/>
        <v>18.16</v>
      </c>
      <c r="T15">
        <f>S15*Constants!$B$2</f>
        <v>50.847999999999999</v>
      </c>
      <c r="V15">
        <f t="shared" si="4"/>
        <v>0</v>
      </c>
      <c r="W15">
        <f t="shared" si="5"/>
        <v>0</v>
      </c>
      <c r="AA15" s="8"/>
      <c r="AJ15" s="4"/>
    </row>
    <row r="16" spans="1:40" x14ac:dyDescent="0.25">
      <c r="A16">
        <v>15</v>
      </c>
      <c r="B16">
        <v>7</v>
      </c>
      <c r="C16" t="s">
        <v>57</v>
      </c>
      <c r="D16" s="16" t="s">
        <v>125</v>
      </c>
      <c r="F16">
        <v>4.08</v>
      </c>
      <c r="G16" t="s">
        <v>44</v>
      </c>
      <c r="H16">
        <v>0</v>
      </c>
      <c r="I16">
        <v>8.76</v>
      </c>
      <c r="L16">
        <f>Constants!$B$2</f>
        <v>2.8</v>
      </c>
      <c r="M16" t="str">
        <f t="shared" si="0"/>
        <v>N/A</v>
      </c>
      <c r="N16">
        <f>P16*Constants!$E$2</f>
        <v>0</v>
      </c>
      <c r="P16">
        <f t="shared" si="1"/>
        <v>0</v>
      </c>
      <c r="Q16">
        <f>P16*Constants!$B$3</f>
        <v>0</v>
      </c>
      <c r="R16">
        <f t="shared" si="2"/>
        <v>0</v>
      </c>
      <c r="S16">
        <f t="shared" si="3"/>
        <v>8.76</v>
      </c>
      <c r="T16">
        <f>S16*Constants!$B$2</f>
        <v>24.527999999999999</v>
      </c>
      <c r="V16">
        <f t="shared" si="4"/>
        <v>0</v>
      </c>
      <c r="W16">
        <f t="shared" si="5"/>
        <v>0</v>
      </c>
      <c r="AA16" s="8"/>
      <c r="AJ16" s="4"/>
    </row>
    <row r="17" spans="1:36" x14ac:dyDescent="0.25">
      <c r="A17">
        <v>16</v>
      </c>
      <c r="B17">
        <v>7</v>
      </c>
      <c r="C17" t="s">
        <v>824</v>
      </c>
      <c r="D17" s="16" t="s">
        <v>126</v>
      </c>
      <c r="F17">
        <v>22.41</v>
      </c>
      <c r="G17">
        <v>90</v>
      </c>
      <c r="H17">
        <f>3.3+3.6</f>
        <v>6.9</v>
      </c>
      <c r="I17">
        <v>21.86</v>
      </c>
      <c r="L17">
        <f>Constants!$B$2</f>
        <v>2.8</v>
      </c>
      <c r="M17">
        <f t="shared" si="0"/>
        <v>90</v>
      </c>
      <c r="N17">
        <f>P17*Constants!$E$2</f>
        <v>11.73</v>
      </c>
      <c r="P17">
        <f t="shared" si="1"/>
        <v>6.9</v>
      </c>
      <c r="Q17">
        <f>P17*Constants!$B$3</f>
        <v>28.979999999999997</v>
      </c>
      <c r="R17">
        <f t="shared" si="2"/>
        <v>17.249999999999996</v>
      </c>
      <c r="S17">
        <f t="shared" si="3"/>
        <v>14.959999999999999</v>
      </c>
      <c r="T17">
        <f>S17*Constants!$B$2</f>
        <v>41.887999999999998</v>
      </c>
      <c r="V17">
        <f t="shared" si="4"/>
        <v>0</v>
      </c>
      <c r="W17">
        <f t="shared" si="5"/>
        <v>0</v>
      </c>
      <c r="AA17" s="8"/>
      <c r="AJ17" s="4"/>
    </row>
    <row r="18" spans="1:36" x14ac:dyDescent="0.25">
      <c r="A18">
        <v>17</v>
      </c>
      <c r="B18">
        <v>7</v>
      </c>
      <c r="C18" t="s">
        <v>824</v>
      </c>
      <c r="D18" s="16" t="s">
        <v>127</v>
      </c>
      <c r="F18">
        <v>21.61</v>
      </c>
      <c r="G18">
        <v>270</v>
      </c>
      <c r="H18">
        <f>3.3+3.6</f>
        <v>6.9</v>
      </c>
      <c r="I18">
        <v>20.84</v>
      </c>
      <c r="L18">
        <f>Constants!$B$2</f>
        <v>2.8</v>
      </c>
      <c r="M18">
        <f t="shared" si="0"/>
        <v>270</v>
      </c>
      <c r="N18">
        <f>P18*Constants!$E$2</f>
        <v>11.73</v>
      </c>
      <c r="P18">
        <f t="shared" si="1"/>
        <v>6.9</v>
      </c>
      <c r="Q18">
        <f>P18*Constants!$B$3</f>
        <v>28.979999999999997</v>
      </c>
      <c r="R18">
        <f t="shared" si="2"/>
        <v>17.249999999999996</v>
      </c>
      <c r="S18">
        <f t="shared" si="3"/>
        <v>13.94</v>
      </c>
      <c r="T18">
        <f>S18*Constants!$B$2</f>
        <v>39.031999999999996</v>
      </c>
      <c r="V18">
        <f t="shared" si="4"/>
        <v>0</v>
      </c>
      <c r="W18">
        <f t="shared" si="5"/>
        <v>0</v>
      </c>
      <c r="AA18" s="8"/>
      <c r="AJ18" s="4"/>
    </row>
    <row r="19" spans="1:36" x14ac:dyDescent="0.25">
      <c r="A19">
        <v>18</v>
      </c>
      <c r="B19">
        <v>7</v>
      </c>
      <c r="C19" t="s">
        <v>50</v>
      </c>
      <c r="D19" s="16" t="s">
        <v>128</v>
      </c>
      <c r="F19">
        <v>5.35</v>
      </c>
      <c r="G19" t="s">
        <v>44</v>
      </c>
      <c r="H19">
        <v>0</v>
      </c>
      <c r="I19">
        <v>10</v>
      </c>
      <c r="L19">
        <f>Constants!$B$2</f>
        <v>2.8</v>
      </c>
      <c r="M19" t="str">
        <f t="shared" si="0"/>
        <v>N/A</v>
      </c>
      <c r="N19">
        <f>P19*Constants!$E$2</f>
        <v>0</v>
      </c>
      <c r="P19">
        <f t="shared" si="1"/>
        <v>0</v>
      </c>
      <c r="Q19">
        <f>P19*Constants!$B$3</f>
        <v>0</v>
      </c>
      <c r="R19">
        <f t="shared" si="2"/>
        <v>0</v>
      </c>
      <c r="S19">
        <f t="shared" si="3"/>
        <v>10</v>
      </c>
      <c r="T19">
        <f>S19*Constants!$B$2</f>
        <v>28</v>
      </c>
      <c r="V19">
        <f t="shared" si="4"/>
        <v>0</v>
      </c>
      <c r="W19">
        <f t="shared" si="5"/>
        <v>0</v>
      </c>
      <c r="AA19" s="8"/>
      <c r="AJ19" s="4"/>
    </row>
    <row r="20" spans="1:36" x14ac:dyDescent="0.25">
      <c r="A20">
        <v>19</v>
      </c>
      <c r="B20">
        <v>7</v>
      </c>
      <c r="C20" t="s">
        <v>824</v>
      </c>
      <c r="D20" s="16" t="s">
        <v>129</v>
      </c>
      <c r="F20">
        <v>22.26</v>
      </c>
      <c r="G20">
        <v>270</v>
      </c>
      <c r="H20">
        <v>3.6</v>
      </c>
      <c r="I20">
        <v>21.76</v>
      </c>
      <c r="L20">
        <f>Constants!$B$2</f>
        <v>2.8</v>
      </c>
      <c r="M20">
        <f t="shared" si="0"/>
        <v>270</v>
      </c>
      <c r="N20">
        <f>P20*Constants!$E$2</f>
        <v>6.12</v>
      </c>
      <c r="P20">
        <f t="shared" si="1"/>
        <v>3.6</v>
      </c>
      <c r="Q20">
        <f>P20*Constants!$B$3</f>
        <v>15.119999999999997</v>
      </c>
      <c r="R20">
        <f t="shared" si="2"/>
        <v>8.9999999999999964</v>
      </c>
      <c r="S20">
        <f t="shared" si="3"/>
        <v>18.16</v>
      </c>
      <c r="T20">
        <f>S20*Constants!$B$2</f>
        <v>50.847999999999999</v>
      </c>
      <c r="V20">
        <f t="shared" si="4"/>
        <v>0</v>
      </c>
      <c r="W20">
        <f t="shared" si="5"/>
        <v>0</v>
      </c>
      <c r="AA20" s="8"/>
      <c r="AJ20" s="4"/>
    </row>
    <row r="21" spans="1:36" x14ac:dyDescent="0.25">
      <c r="A21">
        <v>20</v>
      </c>
      <c r="B21">
        <v>7</v>
      </c>
      <c r="C21" t="s">
        <v>824</v>
      </c>
      <c r="D21" s="16" t="s">
        <v>130</v>
      </c>
      <c r="F21">
        <v>23.18</v>
      </c>
      <c r="G21">
        <v>270</v>
      </c>
      <c r="H21">
        <v>3.6</v>
      </c>
      <c r="I21">
        <v>21.76</v>
      </c>
      <c r="L21">
        <f>Constants!$B$2</f>
        <v>2.8</v>
      </c>
      <c r="M21">
        <f t="shared" si="0"/>
        <v>270</v>
      </c>
      <c r="N21">
        <f>P21*Constants!$E$2</f>
        <v>6.12</v>
      </c>
      <c r="P21">
        <f t="shared" si="1"/>
        <v>3.6</v>
      </c>
      <c r="Q21">
        <f>P21*Constants!$B$3</f>
        <v>15.119999999999997</v>
      </c>
      <c r="R21">
        <f t="shared" si="2"/>
        <v>8.9999999999999964</v>
      </c>
      <c r="S21">
        <f t="shared" si="3"/>
        <v>18.16</v>
      </c>
      <c r="T21">
        <f>S21*Constants!$B$2</f>
        <v>50.847999999999999</v>
      </c>
      <c r="V21">
        <f t="shared" si="4"/>
        <v>0</v>
      </c>
      <c r="W21">
        <f t="shared" si="5"/>
        <v>0</v>
      </c>
      <c r="AA21" s="8"/>
      <c r="AJ21" s="4"/>
    </row>
    <row r="22" spans="1:36" x14ac:dyDescent="0.25">
      <c r="A22">
        <v>21</v>
      </c>
      <c r="B22">
        <v>7</v>
      </c>
      <c r="C22" t="s">
        <v>57</v>
      </c>
      <c r="D22" s="16" t="s">
        <v>131</v>
      </c>
      <c r="E22" s="16" t="s">
        <v>95</v>
      </c>
      <c r="F22">
        <v>4.08</v>
      </c>
      <c r="G22" t="s">
        <v>44</v>
      </c>
      <c r="H22">
        <v>0</v>
      </c>
      <c r="I22">
        <v>8.75</v>
      </c>
      <c r="L22">
        <f>Constants!$B$2</f>
        <v>2.8</v>
      </c>
      <c r="M22" t="str">
        <f t="shared" si="0"/>
        <v>N/A</v>
      </c>
      <c r="N22">
        <f>P22*Constants!$E$2</f>
        <v>0</v>
      </c>
      <c r="P22">
        <f t="shared" si="1"/>
        <v>0</v>
      </c>
      <c r="Q22">
        <f>P22*Constants!$B$3</f>
        <v>0</v>
      </c>
      <c r="R22">
        <f t="shared" si="2"/>
        <v>0</v>
      </c>
      <c r="S22">
        <f t="shared" si="3"/>
        <v>8.75</v>
      </c>
      <c r="T22">
        <f>S22*Constants!$B$2</f>
        <v>24.5</v>
      </c>
      <c r="V22">
        <f t="shared" si="4"/>
        <v>0</v>
      </c>
      <c r="W22">
        <f t="shared" si="5"/>
        <v>0</v>
      </c>
      <c r="AA22" s="8"/>
      <c r="AJ22" s="4"/>
    </row>
    <row r="23" spans="1:36" x14ac:dyDescent="0.25">
      <c r="A23">
        <v>22</v>
      </c>
      <c r="B23">
        <v>7</v>
      </c>
      <c r="C23" t="s">
        <v>824</v>
      </c>
      <c r="D23" s="16" t="s">
        <v>132</v>
      </c>
      <c r="F23">
        <v>23.18</v>
      </c>
      <c r="G23">
        <v>270</v>
      </c>
      <c r="H23">
        <v>3.6</v>
      </c>
      <c r="I23">
        <v>21.76</v>
      </c>
      <c r="L23">
        <f>Constants!$B$2</f>
        <v>2.8</v>
      </c>
      <c r="M23">
        <f t="shared" si="0"/>
        <v>270</v>
      </c>
      <c r="N23">
        <f>P23*Constants!$E$2</f>
        <v>6.12</v>
      </c>
      <c r="P23">
        <f t="shared" si="1"/>
        <v>3.6</v>
      </c>
      <c r="Q23">
        <f>P23*Constants!$B$3</f>
        <v>15.119999999999997</v>
      </c>
      <c r="R23">
        <f t="shared" si="2"/>
        <v>8.9999999999999964</v>
      </c>
      <c r="S23">
        <f t="shared" si="3"/>
        <v>18.16</v>
      </c>
      <c r="T23">
        <f>S23*Constants!$B$2</f>
        <v>50.847999999999999</v>
      </c>
      <c r="V23">
        <f t="shared" si="4"/>
        <v>0</v>
      </c>
      <c r="W23">
        <f t="shared" si="5"/>
        <v>0</v>
      </c>
      <c r="AA23" s="8"/>
      <c r="AJ23" s="4"/>
    </row>
    <row r="24" spans="1:36" x14ac:dyDescent="0.25">
      <c r="A24">
        <v>23</v>
      </c>
      <c r="B24">
        <v>7</v>
      </c>
      <c r="C24" t="s">
        <v>61</v>
      </c>
      <c r="D24" s="16" t="s">
        <v>133</v>
      </c>
      <c r="F24">
        <v>26.76</v>
      </c>
      <c r="G24" t="s">
        <v>44</v>
      </c>
      <c r="H24">
        <v>0</v>
      </c>
      <c r="I24">
        <v>24</v>
      </c>
      <c r="L24">
        <f>Constants!$B$2</f>
        <v>2.8</v>
      </c>
      <c r="M24" t="str">
        <f t="shared" si="0"/>
        <v>N/A</v>
      </c>
      <c r="N24">
        <f>P24*Constants!$E$2</f>
        <v>0</v>
      </c>
      <c r="P24">
        <f t="shared" si="1"/>
        <v>0</v>
      </c>
      <c r="Q24">
        <f>P24*Constants!$B$3</f>
        <v>0</v>
      </c>
      <c r="R24">
        <f t="shared" si="2"/>
        <v>0</v>
      </c>
      <c r="S24">
        <f t="shared" si="3"/>
        <v>24</v>
      </c>
      <c r="T24">
        <f>S24*Constants!$B$2</f>
        <v>67.199999999999989</v>
      </c>
      <c r="V24">
        <f t="shared" si="4"/>
        <v>0</v>
      </c>
      <c r="W24">
        <f t="shared" si="5"/>
        <v>0</v>
      </c>
      <c r="AA24" s="8"/>
      <c r="AJ24" s="4"/>
    </row>
    <row r="25" spans="1:36" x14ac:dyDescent="0.25">
      <c r="A25">
        <v>24</v>
      </c>
      <c r="B25">
        <v>7</v>
      </c>
      <c r="C25" t="s">
        <v>59</v>
      </c>
      <c r="D25" s="16" t="s">
        <v>134</v>
      </c>
      <c r="F25">
        <v>18.16</v>
      </c>
      <c r="G25">
        <v>270</v>
      </c>
      <c r="H25">
        <v>4.8</v>
      </c>
      <c r="I25">
        <v>20.16</v>
      </c>
      <c r="L25">
        <f>Constants!$B$2</f>
        <v>2.8</v>
      </c>
      <c r="M25">
        <f t="shared" si="0"/>
        <v>270</v>
      </c>
      <c r="N25">
        <f>P25*Constants!$E$2</f>
        <v>8.16</v>
      </c>
      <c r="P25">
        <f t="shared" si="1"/>
        <v>4.8</v>
      </c>
      <c r="Q25">
        <f>P25*Constants!$B$3</f>
        <v>20.159999999999997</v>
      </c>
      <c r="R25">
        <f t="shared" si="2"/>
        <v>11.999999999999996</v>
      </c>
      <c r="S25">
        <f t="shared" si="3"/>
        <v>15.36</v>
      </c>
      <c r="T25">
        <f>S25*Constants!$B$2</f>
        <v>43.007999999999996</v>
      </c>
      <c r="V25">
        <f t="shared" si="4"/>
        <v>0</v>
      </c>
      <c r="W25">
        <f t="shared" si="5"/>
        <v>0</v>
      </c>
      <c r="AA25" s="8"/>
      <c r="AJ25" s="4"/>
    </row>
    <row r="26" spans="1:36" x14ac:dyDescent="0.25">
      <c r="A26">
        <v>25</v>
      </c>
      <c r="B26">
        <v>7</v>
      </c>
      <c r="C26" t="s">
        <v>50</v>
      </c>
      <c r="D26" s="16" t="s">
        <v>135</v>
      </c>
      <c r="F26">
        <v>14.26</v>
      </c>
      <c r="G26">
        <v>270</v>
      </c>
      <c r="H26">
        <v>3.6</v>
      </c>
      <c r="I26">
        <v>15.76</v>
      </c>
      <c r="L26">
        <f>Constants!$B$2</f>
        <v>2.8</v>
      </c>
      <c r="M26">
        <f t="shared" si="0"/>
        <v>270</v>
      </c>
      <c r="N26">
        <f>P26*Constants!$E$2</f>
        <v>6.12</v>
      </c>
      <c r="P26">
        <f t="shared" si="1"/>
        <v>3.6</v>
      </c>
      <c r="Q26">
        <f>P26*Constants!$B$3</f>
        <v>15.119999999999997</v>
      </c>
      <c r="R26">
        <f t="shared" si="2"/>
        <v>8.9999999999999964</v>
      </c>
      <c r="S26">
        <f t="shared" si="3"/>
        <v>12.16</v>
      </c>
      <c r="T26">
        <f>S26*Constants!$B$2</f>
        <v>34.047999999999995</v>
      </c>
      <c r="V26">
        <f t="shared" si="4"/>
        <v>0</v>
      </c>
      <c r="W26">
        <f t="shared" si="5"/>
        <v>0</v>
      </c>
      <c r="AA26" s="8"/>
      <c r="AJ26" s="4"/>
    </row>
    <row r="27" spans="1:36" x14ac:dyDescent="0.25">
      <c r="A27">
        <v>26</v>
      </c>
      <c r="B27">
        <v>7</v>
      </c>
      <c r="C27" t="s">
        <v>824</v>
      </c>
      <c r="D27" s="16" t="s">
        <v>136</v>
      </c>
      <c r="F27">
        <v>22.55</v>
      </c>
      <c r="G27">
        <v>270</v>
      </c>
      <c r="H27">
        <v>3.6</v>
      </c>
      <c r="I27">
        <v>21.76</v>
      </c>
      <c r="L27">
        <f>Constants!$B$2</f>
        <v>2.8</v>
      </c>
      <c r="M27">
        <f t="shared" si="0"/>
        <v>270</v>
      </c>
      <c r="N27">
        <f>P27*Constants!$E$2</f>
        <v>6.12</v>
      </c>
      <c r="P27">
        <f t="shared" si="1"/>
        <v>3.6</v>
      </c>
      <c r="Q27">
        <f>P27*Constants!$B$3</f>
        <v>15.119999999999997</v>
      </c>
      <c r="R27">
        <f t="shared" si="2"/>
        <v>8.9999999999999964</v>
      </c>
      <c r="S27">
        <f t="shared" si="3"/>
        <v>18.16</v>
      </c>
      <c r="T27">
        <f>S27*Constants!$B$2</f>
        <v>50.847999999999999</v>
      </c>
      <c r="V27">
        <f t="shared" si="4"/>
        <v>0</v>
      </c>
      <c r="W27">
        <f t="shared" si="5"/>
        <v>0</v>
      </c>
      <c r="AA27" s="8"/>
      <c r="AJ27" s="4"/>
    </row>
    <row r="28" spans="1:36" x14ac:dyDescent="0.25">
      <c r="A28">
        <v>27</v>
      </c>
      <c r="B28">
        <v>7</v>
      </c>
      <c r="C28" t="s">
        <v>57</v>
      </c>
      <c r="D28" s="16" t="s">
        <v>137</v>
      </c>
      <c r="E28" s="16" t="s">
        <v>101</v>
      </c>
      <c r="F28">
        <v>2.39</v>
      </c>
      <c r="G28" t="s">
        <v>44</v>
      </c>
      <c r="H28">
        <v>0</v>
      </c>
      <c r="I28">
        <v>6.55</v>
      </c>
      <c r="L28">
        <f>Constants!$B$2</f>
        <v>2.8</v>
      </c>
      <c r="M28" t="str">
        <f t="shared" si="0"/>
        <v>N/A</v>
      </c>
      <c r="N28">
        <f>P28*Constants!$E$2</f>
        <v>0</v>
      </c>
      <c r="P28">
        <f t="shared" si="1"/>
        <v>0</v>
      </c>
      <c r="Q28">
        <f>P28*Constants!$B$3</f>
        <v>0</v>
      </c>
      <c r="R28">
        <f t="shared" si="2"/>
        <v>0</v>
      </c>
      <c r="S28">
        <f t="shared" si="3"/>
        <v>6.55</v>
      </c>
      <c r="T28">
        <f>S28*Constants!$B$2</f>
        <v>18.34</v>
      </c>
      <c r="V28">
        <f t="shared" si="4"/>
        <v>0</v>
      </c>
      <c r="W28">
        <f t="shared" si="5"/>
        <v>0</v>
      </c>
      <c r="AA28" s="8"/>
      <c r="AJ28" s="4"/>
    </row>
    <row r="29" spans="1:36" x14ac:dyDescent="0.25">
      <c r="A29">
        <v>28</v>
      </c>
      <c r="B29">
        <v>7</v>
      </c>
      <c r="C29" t="s">
        <v>824</v>
      </c>
      <c r="D29" s="16" t="s">
        <v>138</v>
      </c>
      <c r="F29">
        <v>23.18</v>
      </c>
      <c r="G29">
        <v>270</v>
      </c>
      <c r="H29">
        <v>3.6</v>
      </c>
      <c r="I29">
        <v>21.76</v>
      </c>
      <c r="L29">
        <f>Constants!$B$2</f>
        <v>2.8</v>
      </c>
      <c r="M29">
        <f t="shared" si="0"/>
        <v>270</v>
      </c>
      <c r="N29">
        <f>P29*Constants!$E$2</f>
        <v>6.12</v>
      </c>
      <c r="P29">
        <f t="shared" si="1"/>
        <v>3.6</v>
      </c>
      <c r="Q29">
        <f>P29*Constants!$B$3</f>
        <v>15.119999999999997</v>
      </c>
      <c r="R29">
        <f t="shared" si="2"/>
        <v>8.9999999999999964</v>
      </c>
      <c r="S29">
        <f t="shared" si="3"/>
        <v>18.16</v>
      </c>
      <c r="T29">
        <f>S29*Constants!$B$2</f>
        <v>50.847999999999999</v>
      </c>
      <c r="V29">
        <f t="shared" si="4"/>
        <v>0</v>
      </c>
      <c r="W29">
        <f t="shared" si="5"/>
        <v>0</v>
      </c>
      <c r="AA29" s="8"/>
      <c r="AJ29" s="4"/>
    </row>
    <row r="30" spans="1:36" x14ac:dyDescent="0.25">
      <c r="A30">
        <v>29</v>
      </c>
      <c r="B30">
        <v>7</v>
      </c>
      <c r="C30" t="s">
        <v>57</v>
      </c>
      <c r="D30" s="16" t="s">
        <v>139</v>
      </c>
      <c r="E30" s="16" t="s">
        <v>103</v>
      </c>
      <c r="F30">
        <v>4.08</v>
      </c>
      <c r="G30" t="s">
        <v>44</v>
      </c>
      <c r="H30">
        <v>0</v>
      </c>
      <c r="I30">
        <v>8.76</v>
      </c>
      <c r="L30">
        <f>Constants!$B$2</f>
        <v>2.8</v>
      </c>
      <c r="M30" t="str">
        <f t="shared" si="0"/>
        <v>N/A</v>
      </c>
      <c r="N30">
        <f>P30*Constants!$E$2</f>
        <v>0</v>
      </c>
      <c r="P30">
        <f t="shared" si="1"/>
        <v>0</v>
      </c>
      <c r="Q30">
        <f>P30*Constants!$B$3</f>
        <v>0</v>
      </c>
      <c r="R30">
        <f t="shared" si="2"/>
        <v>0</v>
      </c>
      <c r="S30">
        <f t="shared" si="3"/>
        <v>8.76</v>
      </c>
      <c r="T30">
        <f>S30*Constants!$B$2</f>
        <v>24.527999999999999</v>
      </c>
      <c r="V30">
        <f t="shared" si="4"/>
        <v>0</v>
      </c>
      <c r="W30">
        <f t="shared" si="5"/>
        <v>0</v>
      </c>
      <c r="AA30" s="8"/>
      <c r="AJ30" s="4"/>
    </row>
    <row r="31" spans="1:36" x14ac:dyDescent="0.25">
      <c r="A31">
        <v>30</v>
      </c>
      <c r="B31">
        <v>7</v>
      </c>
      <c r="C31" t="s">
        <v>824</v>
      </c>
      <c r="D31" s="16" t="s">
        <v>140</v>
      </c>
      <c r="F31">
        <v>22.81</v>
      </c>
      <c r="G31">
        <v>270</v>
      </c>
      <c r="H31">
        <v>3.6</v>
      </c>
      <c r="I31">
        <v>21.66</v>
      </c>
      <c r="L31">
        <f>Constants!$B$2</f>
        <v>2.8</v>
      </c>
      <c r="M31">
        <f t="shared" si="0"/>
        <v>270</v>
      </c>
      <c r="N31">
        <f>P31*Constants!$E$2</f>
        <v>6.12</v>
      </c>
      <c r="P31">
        <f t="shared" si="1"/>
        <v>3.6</v>
      </c>
      <c r="Q31">
        <f>P31*Constants!$B$3</f>
        <v>15.119999999999997</v>
      </c>
      <c r="R31">
        <f t="shared" si="2"/>
        <v>8.9999999999999964</v>
      </c>
      <c r="S31">
        <f t="shared" si="3"/>
        <v>18.059999999999999</v>
      </c>
      <c r="T31">
        <f>S31*Constants!$B$2</f>
        <v>50.567999999999991</v>
      </c>
      <c r="V31">
        <f t="shared" si="4"/>
        <v>0</v>
      </c>
      <c r="W31">
        <f t="shared" si="5"/>
        <v>0</v>
      </c>
      <c r="AA31" s="8"/>
      <c r="AJ31" s="4"/>
    </row>
    <row r="32" spans="1:36" x14ac:dyDescent="0.25">
      <c r="A32">
        <v>31</v>
      </c>
      <c r="B32">
        <v>7</v>
      </c>
      <c r="C32" t="s">
        <v>50</v>
      </c>
      <c r="D32" s="16" t="s">
        <v>141</v>
      </c>
      <c r="F32">
        <v>18.63</v>
      </c>
      <c r="G32" t="s">
        <v>44</v>
      </c>
      <c r="H32">
        <v>0</v>
      </c>
      <c r="I32">
        <v>17.3</v>
      </c>
      <c r="L32">
        <f>Constants!$B$2</f>
        <v>2.8</v>
      </c>
      <c r="M32" t="str">
        <f t="shared" si="0"/>
        <v>N/A</v>
      </c>
      <c r="N32">
        <f>P32*Constants!$E$2</f>
        <v>0</v>
      </c>
      <c r="P32">
        <f t="shared" si="1"/>
        <v>0</v>
      </c>
      <c r="Q32">
        <f>P32*Constants!$B$3</f>
        <v>0</v>
      </c>
      <c r="R32">
        <f t="shared" si="2"/>
        <v>0</v>
      </c>
      <c r="S32">
        <f t="shared" si="3"/>
        <v>17.3</v>
      </c>
      <c r="T32">
        <f>S32*Constants!$B$2</f>
        <v>48.44</v>
      </c>
      <c r="V32">
        <f t="shared" si="4"/>
        <v>0</v>
      </c>
      <c r="W32">
        <f t="shared" si="5"/>
        <v>0</v>
      </c>
      <c r="AA32" s="8"/>
      <c r="AJ32" s="4"/>
    </row>
    <row r="33" spans="1:36" x14ac:dyDescent="0.25">
      <c r="A33">
        <v>32</v>
      </c>
      <c r="B33">
        <v>7</v>
      </c>
      <c r="C33" t="s">
        <v>62</v>
      </c>
      <c r="D33" s="16" t="s">
        <v>142</v>
      </c>
      <c r="F33">
        <v>20.76</v>
      </c>
      <c r="G33">
        <v>90</v>
      </c>
      <c r="H33">
        <v>3.2</v>
      </c>
      <c r="I33">
        <f>2*(5.3+3.2)</f>
        <v>17</v>
      </c>
      <c r="L33">
        <f>Constants!$B$2</f>
        <v>2.8</v>
      </c>
      <c r="M33">
        <f t="shared" si="0"/>
        <v>90</v>
      </c>
      <c r="N33">
        <f>P33*Constants!$E$2</f>
        <v>5.44</v>
      </c>
      <c r="P33">
        <f t="shared" si="1"/>
        <v>3.2</v>
      </c>
      <c r="Q33">
        <f>P33*Constants!$B$3</f>
        <v>13.439999999999998</v>
      </c>
      <c r="R33">
        <f t="shared" si="2"/>
        <v>7.9999999999999973</v>
      </c>
      <c r="S33">
        <f t="shared" si="3"/>
        <v>13.8</v>
      </c>
      <c r="T33">
        <f>S33*Constants!$B$2</f>
        <v>38.64</v>
      </c>
      <c r="V33">
        <f t="shared" si="4"/>
        <v>0</v>
      </c>
      <c r="W33">
        <f t="shared" si="5"/>
        <v>0</v>
      </c>
      <c r="AA33" s="8"/>
      <c r="AJ33" s="4"/>
    </row>
    <row r="34" spans="1:36" x14ac:dyDescent="0.25">
      <c r="A34">
        <v>33</v>
      </c>
      <c r="B34">
        <v>7</v>
      </c>
      <c r="C34" t="s">
        <v>64</v>
      </c>
      <c r="D34" s="16" t="s">
        <v>143</v>
      </c>
      <c r="F34">
        <v>3.72</v>
      </c>
      <c r="G34">
        <v>90</v>
      </c>
      <c r="H34">
        <v>1.2</v>
      </c>
      <c r="I34">
        <f>2*(1.2+2.9)</f>
        <v>8.1999999999999993</v>
      </c>
      <c r="L34">
        <f>Constants!$B$2</f>
        <v>2.8</v>
      </c>
      <c r="M34">
        <f t="shared" si="0"/>
        <v>90</v>
      </c>
      <c r="N34">
        <f>P34*Constants!$E$2</f>
        <v>2.04</v>
      </c>
      <c r="P34">
        <f t="shared" si="1"/>
        <v>1.2</v>
      </c>
      <c r="Q34">
        <f>P34*Constants!$B$3</f>
        <v>5.0399999999999991</v>
      </c>
      <c r="R34">
        <f t="shared" si="2"/>
        <v>2.9999999999999991</v>
      </c>
      <c r="S34">
        <f t="shared" si="3"/>
        <v>6.9999999999999991</v>
      </c>
      <c r="T34">
        <f>S34*Constants!$B$2</f>
        <v>19.599999999999998</v>
      </c>
      <c r="V34">
        <f t="shared" si="4"/>
        <v>0</v>
      </c>
      <c r="W34">
        <f t="shared" si="5"/>
        <v>0</v>
      </c>
      <c r="AA34" s="8"/>
      <c r="AJ34" s="4"/>
    </row>
    <row r="35" spans="1:36" x14ac:dyDescent="0.25">
      <c r="A35">
        <v>34</v>
      </c>
      <c r="B35">
        <v>7</v>
      </c>
      <c r="C35" t="s">
        <v>64</v>
      </c>
      <c r="D35" s="16" t="s">
        <v>144</v>
      </c>
      <c r="F35">
        <v>3.72</v>
      </c>
      <c r="G35">
        <v>90</v>
      </c>
      <c r="H35">
        <v>1.2</v>
      </c>
      <c r="I35">
        <f>2*(1.2+2.9)</f>
        <v>8.1999999999999993</v>
      </c>
      <c r="L35">
        <f>Constants!$B$2</f>
        <v>2.8</v>
      </c>
      <c r="M35">
        <f t="shared" si="0"/>
        <v>90</v>
      </c>
      <c r="N35">
        <f>P35*Constants!$E$2</f>
        <v>2.04</v>
      </c>
      <c r="P35">
        <f t="shared" si="1"/>
        <v>1.2</v>
      </c>
      <c r="Q35">
        <f>P35*Constants!$B$3</f>
        <v>5.0399999999999991</v>
      </c>
      <c r="R35">
        <f t="shared" si="2"/>
        <v>2.9999999999999991</v>
      </c>
      <c r="S35">
        <f t="shared" si="3"/>
        <v>6.9999999999999991</v>
      </c>
      <c r="T35">
        <f>S35*Constants!$B$2</f>
        <v>19.599999999999998</v>
      </c>
      <c r="V35">
        <f t="shared" si="4"/>
        <v>0</v>
      </c>
      <c r="W35">
        <f t="shared" si="5"/>
        <v>0</v>
      </c>
      <c r="AA35" s="8"/>
      <c r="AJ35" s="4"/>
    </row>
    <row r="36" spans="1:36" x14ac:dyDescent="0.25">
      <c r="A36">
        <v>35</v>
      </c>
      <c r="B36">
        <v>7</v>
      </c>
      <c r="C36" t="s">
        <v>62</v>
      </c>
      <c r="D36" s="16" t="s">
        <v>145</v>
      </c>
      <c r="F36">
        <v>104.14</v>
      </c>
      <c r="G36" t="s">
        <v>44</v>
      </c>
      <c r="H36">
        <v>0</v>
      </c>
      <c r="I36">
        <v>94.31</v>
      </c>
      <c r="L36">
        <f>Constants!$B$2</f>
        <v>2.8</v>
      </c>
      <c r="M36" t="str">
        <f t="shared" si="0"/>
        <v>N/A</v>
      </c>
      <c r="N36">
        <f>P36*Constants!$E$2</f>
        <v>0</v>
      </c>
      <c r="P36">
        <f t="shared" si="1"/>
        <v>0</v>
      </c>
      <c r="Q36">
        <f>P36*Constants!$B$3</f>
        <v>0</v>
      </c>
      <c r="R36">
        <f t="shared" si="2"/>
        <v>0</v>
      </c>
      <c r="S36">
        <f t="shared" si="3"/>
        <v>94.31</v>
      </c>
      <c r="T36">
        <f>S36*Constants!$B$2</f>
        <v>264.06799999999998</v>
      </c>
      <c r="V36">
        <f t="shared" si="4"/>
        <v>0</v>
      </c>
      <c r="W36">
        <f t="shared" si="5"/>
        <v>0</v>
      </c>
      <c r="AA36" s="8"/>
      <c r="AJ36" s="4"/>
    </row>
    <row r="37" spans="1:36" x14ac:dyDescent="0.25">
      <c r="D37" s="15"/>
    </row>
    <row r="38" spans="1:36" x14ac:dyDescent="0.25">
      <c r="D38" s="15"/>
    </row>
    <row r="39" spans="1:36" x14ac:dyDescent="0.25">
      <c r="D39" s="15"/>
    </row>
    <row r="40" spans="1:36" x14ac:dyDescent="0.25">
      <c r="D40" s="15"/>
    </row>
    <row r="41" spans="1:36" x14ac:dyDescent="0.25">
      <c r="D41" s="15"/>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4"/>
    </row>
    <row r="447" spans="4:4" x14ac:dyDescent="0.25">
      <c r="D447" s="14"/>
    </row>
    <row r="448" spans="4:4" x14ac:dyDescent="0.25">
      <c r="D448" s="13"/>
    </row>
    <row r="449" spans="4:4" x14ac:dyDescent="0.25">
      <c r="D449" s="13"/>
    </row>
    <row r="450" spans="4:4" x14ac:dyDescent="0.25">
      <c r="D450" s="13"/>
    </row>
    <row r="451" spans="4:4" x14ac:dyDescent="0.25">
      <c r="D451" s="13"/>
    </row>
    <row r="452" spans="4:4" x14ac:dyDescent="0.25">
      <c r="D452" s="13"/>
    </row>
    <row r="453" spans="4:4" x14ac:dyDescent="0.25">
      <c r="D453" s="13"/>
    </row>
    <row r="454" spans="4:4" x14ac:dyDescent="0.25">
      <c r="D454" s="13"/>
    </row>
    <row r="455" spans="4:4" x14ac:dyDescent="0.25">
      <c r="D455" s="13"/>
    </row>
  </sheetData>
  <pageMargins left="0.7" right="0.7" top="0.78740157499999996" bottom="0.78740157499999996"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4"/>
  <sheetViews>
    <sheetView zoomScaleNormal="100" workbookViewId="0">
      <pane xSplit="4" ySplit="1" topLeftCell="H2" activePane="bottomRight" state="frozen"/>
      <selection pane="topRight" activeCell="F1" sqref="F1"/>
      <selection pane="bottomLeft" activeCell="A2" sqref="A2"/>
      <selection pane="bottomRight" activeCell="I4" sqref="I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54</v>
      </c>
      <c r="D2" s="16" t="s">
        <v>146</v>
      </c>
      <c r="F2">
        <v>25.86</v>
      </c>
      <c r="G2" t="s">
        <v>44</v>
      </c>
      <c r="H2">
        <v>0</v>
      </c>
      <c r="I2">
        <f>2*(6.1+4.8)</f>
        <v>21.799999999999997</v>
      </c>
      <c r="L2">
        <f>Constants!$B$2</f>
        <v>2.8</v>
      </c>
      <c r="M2" t="str">
        <f t="shared" ref="M2:M44" si="0">IF(N2&gt;0,G2,"N/A")</f>
        <v>N/A</v>
      </c>
      <c r="N2">
        <f>P2*Constants!$E$2</f>
        <v>0</v>
      </c>
      <c r="P2">
        <f>H2</f>
        <v>0</v>
      </c>
      <c r="Q2">
        <f>P2*Constants!$B$3</f>
        <v>0</v>
      </c>
      <c r="R2">
        <f>IF(Q2-N2&lt;=0, 0, Q2-N2)</f>
        <v>0</v>
      </c>
      <c r="S2">
        <f>I2-P2</f>
        <v>21.799999999999997</v>
      </c>
      <c r="T2">
        <f>S2*Constants!$B$2</f>
        <v>61.039999999999985</v>
      </c>
      <c r="V2">
        <f>IF(B2="E",1,0)</f>
        <v>0</v>
      </c>
      <c r="W2">
        <f>IF(B2=10,1,0)</f>
        <v>0</v>
      </c>
      <c r="AA2" s="8"/>
      <c r="AJ2" s="4"/>
    </row>
    <row r="3" spans="1:40" x14ac:dyDescent="0.25">
      <c r="A3">
        <v>2</v>
      </c>
      <c r="B3">
        <v>7</v>
      </c>
      <c r="C3" s="17" t="s">
        <v>49</v>
      </c>
      <c r="D3" s="16" t="s">
        <v>147</v>
      </c>
      <c r="F3">
        <v>25.47</v>
      </c>
      <c r="G3">
        <v>90</v>
      </c>
      <c r="H3">
        <v>3</v>
      </c>
      <c r="I3">
        <f>21.66</f>
        <v>21.66</v>
      </c>
      <c r="L3">
        <f>Constants!$B$2</f>
        <v>2.8</v>
      </c>
      <c r="M3">
        <f t="shared" si="0"/>
        <v>90</v>
      </c>
      <c r="N3">
        <f>P3*Constants!$E$2</f>
        <v>5.0999999999999996</v>
      </c>
      <c r="P3">
        <f t="shared" ref="P3:P44" si="1">H3</f>
        <v>3</v>
      </c>
      <c r="Q3">
        <f>P3*Constants!$B$3</f>
        <v>12.599999999999998</v>
      </c>
      <c r="R3">
        <f t="shared" ref="R3:R44" si="2">IF(Q3-N3&lt;=0, 0, Q3-N3)</f>
        <v>7.4999999999999982</v>
      </c>
      <c r="S3">
        <f t="shared" ref="S3:S44" si="3">I3-P3</f>
        <v>18.66</v>
      </c>
      <c r="T3">
        <f>S3*Constants!$B$2</f>
        <v>52.247999999999998</v>
      </c>
      <c r="V3">
        <f t="shared" ref="V3:V44" si="4">IF(B3="E",1,0)</f>
        <v>0</v>
      </c>
      <c r="W3">
        <f t="shared" ref="W3:W44" si="5">IF(B3=10,1,0)</f>
        <v>0</v>
      </c>
      <c r="AA3" s="8"/>
      <c r="AJ3" s="4"/>
    </row>
    <row r="4" spans="1:40" x14ac:dyDescent="0.25">
      <c r="A4">
        <v>3</v>
      </c>
      <c r="B4">
        <v>7</v>
      </c>
      <c r="C4" t="s">
        <v>57</v>
      </c>
      <c r="D4" s="16" t="s">
        <v>148</v>
      </c>
      <c r="E4" s="16" t="s">
        <v>147</v>
      </c>
      <c r="F4">
        <v>2.4</v>
      </c>
      <c r="G4" t="s">
        <v>44</v>
      </c>
      <c r="H4">
        <v>0</v>
      </c>
      <c r="I4">
        <v>6.55</v>
      </c>
      <c r="L4">
        <f>Constants!$B$2</f>
        <v>2.8</v>
      </c>
      <c r="M4" t="str">
        <f t="shared" ref="M4" si="6">IF(N4&gt;0,G4,"N/A")</f>
        <v>N/A</v>
      </c>
      <c r="N4">
        <f>P4*Constants!$E$2</f>
        <v>0</v>
      </c>
      <c r="P4">
        <f>H4</f>
        <v>0</v>
      </c>
      <c r="Q4">
        <f>P4*Constants!$B$3</f>
        <v>0</v>
      </c>
      <c r="R4">
        <f>IF(Q4-N4&lt;=0, 0, Q4-N4)</f>
        <v>0</v>
      </c>
      <c r="S4">
        <f>I4-P4</f>
        <v>6.55</v>
      </c>
      <c r="T4">
        <f>S4*Constants!$B$2</f>
        <v>18.34</v>
      </c>
      <c r="V4">
        <f>IF(B4="E",1,0)</f>
        <v>0</v>
      </c>
      <c r="W4">
        <f>IF(B4=10,1,0)</f>
        <v>0</v>
      </c>
      <c r="AA4" s="8"/>
      <c r="AJ4" s="4"/>
    </row>
    <row r="5" spans="1:40" x14ac:dyDescent="0.25">
      <c r="A5">
        <v>4</v>
      </c>
      <c r="B5">
        <v>7</v>
      </c>
      <c r="C5" t="s">
        <v>49</v>
      </c>
      <c r="D5" s="16" t="s">
        <v>149</v>
      </c>
      <c r="F5">
        <v>25.3</v>
      </c>
      <c r="G5">
        <v>90</v>
      </c>
      <c r="H5">
        <v>3</v>
      </c>
      <c r="I5">
        <f t="shared" ref="I5:I7" si="7">21.66</f>
        <v>21.66</v>
      </c>
      <c r="L5">
        <f>Constants!$B$2</f>
        <v>2.8</v>
      </c>
      <c r="M5">
        <f t="shared" si="0"/>
        <v>90</v>
      </c>
      <c r="N5">
        <f>P5*Constants!$E$2</f>
        <v>5.0999999999999996</v>
      </c>
      <c r="P5">
        <f t="shared" si="1"/>
        <v>3</v>
      </c>
      <c r="Q5">
        <f>P5*Constants!$B$3</f>
        <v>12.599999999999998</v>
      </c>
      <c r="R5">
        <f t="shared" si="2"/>
        <v>7.4999999999999982</v>
      </c>
      <c r="S5">
        <f t="shared" si="3"/>
        <v>18.66</v>
      </c>
      <c r="T5">
        <f>S5*Constants!$B$2</f>
        <v>52.247999999999998</v>
      </c>
      <c r="V5">
        <f t="shared" si="4"/>
        <v>0</v>
      </c>
      <c r="W5">
        <f t="shared" si="5"/>
        <v>0</v>
      </c>
      <c r="AA5" s="8"/>
      <c r="AJ5" s="4"/>
    </row>
    <row r="6" spans="1:40" x14ac:dyDescent="0.25">
      <c r="A6">
        <v>5</v>
      </c>
      <c r="B6">
        <v>7</v>
      </c>
      <c r="C6" t="s">
        <v>57</v>
      </c>
      <c r="D6" s="16" t="s">
        <v>150</v>
      </c>
      <c r="E6" s="16" t="s">
        <v>149</v>
      </c>
      <c r="F6">
        <v>2.4</v>
      </c>
      <c r="G6" t="s">
        <v>44</v>
      </c>
      <c r="H6">
        <v>0</v>
      </c>
      <c r="I6">
        <v>6.55</v>
      </c>
      <c r="L6">
        <f>Constants!$B$2</f>
        <v>2.8</v>
      </c>
      <c r="M6" t="str">
        <f t="shared" si="0"/>
        <v>N/A</v>
      </c>
      <c r="N6">
        <f>P6*Constants!$E$2</f>
        <v>0</v>
      </c>
      <c r="P6">
        <f>H6</f>
        <v>0</v>
      </c>
      <c r="Q6">
        <f>P6*Constants!$B$3</f>
        <v>0</v>
      </c>
      <c r="R6">
        <f>IF(Q6-N6&lt;=0, 0, Q6-N6)</f>
        <v>0</v>
      </c>
      <c r="S6">
        <f>I6-P6</f>
        <v>6.55</v>
      </c>
      <c r="T6">
        <f>S6*Constants!$B$2</f>
        <v>18.34</v>
      </c>
      <c r="V6">
        <f>IF(B6="E",1,0)</f>
        <v>0</v>
      </c>
      <c r="W6">
        <f>IF(B6=10,1,0)</f>
        <v>0</v>
      </c>
      <c r="AA6" s="8"/>
      <c r="AJ6" s="4"/>
    </row>
    <row r="7" spans="1:40" x14ac:dyDescent="0.25">
      <c r="A7">
        <v>6</v>
      </c>
      <c r="B7">
        <v>7</v>
      </c>
      <c r="C7" t="s">
        <v>49</v>
      </c>
      <c r="D7" s="16" t="s">
        <v>151</v>
      </c>
      <c r="F7">
        <v>25.3</v>
      </c>
      <c r="G7">
        <v>90</v>
      </c>
      <c r="H7">
        <v>3</v>
      </c>
      <c r="I7">
        <f t="shared" si="7"/>
        <v>21.66</v>
      </c>
      <c r="L7">
        <f>Constants!$B$2</f>
        <v>2.8</v>
      </c>
      <c r="M7">
        <f t="shared" si="0"/>
        <v>90</v>
      </c>
      <c r="N7">
        <f>P7*Constants!$E$2</f>
        <v>5.0999999999999996</v>
      </c>
      <c r="P7">
        <f t="shared" si="1"/>
        <v>3</v>
      </c>
      <c r="Q7">
        <f>P7*Constants!$B$3</f>
        <v>12.599999999999998</v>
      </c>
      <c r="R7">
        <f t="shared" si="2"/>
        <v>7.4999999999999982</v>
      </c>
      <c r="S7">
        <f t="shared" si="3"/>
        <v>18.66</v>
      </c>
      <c r="T7">
        <f>S7*Constants!$B$2</f>
        <v>52.247999999999998</v>
      </c>
      <c r="V7">
        <f t="shared" si="4"/>
        <v>0</v>
      </c>
      <c r="W7">
        <f t="shared" si="5"/>
        <v>0</v>
      </c>
      <c r="AA7" s="8"/>
      <c r="AJ7" s="4"/>
    </row>
    <row r="8" spans="1:40" x14ac:dyDescent="0.25">
      <c r="A8">
        <v>7</v>
      </c>
      <c r="B8">
        <v>7</v>
      </c>
      <c r="C8" t="s">
        <v>57</v>
      </c>
      <c r="D8" s="16" t="s">
        <v>152</v>
      </c>
      <c r="E8" s="16" t="s">
        <v>151</v>
      </c>
      <c r="F8">
        <v>2.4</v>
      </c>
      <c r="G8" t="s">
        <v>44</v>
      </c>
      <c r="H8">
        <v>0</v>
      </c>
      <c r="I8">
        <v>6.55</v>
      </c>
      <c r="L8">
        <f>Constants!$B$2</f>
        <v>2.8</v>
      </c>
      <c r="M8" t="str">
        <f t="shared" si="0"/>
        <v>N/A</v>
      </c>
      <c r="N8">
        <f>P8*Constants!$E$2</f>
        <v>0</v>
      </c>
      <c r="P8">
        <f>H8</f>
        <v>0</v>
      </c>
      <c r="Q8">
        <f>P8*Constants!$B$3</f>
        <v>0</v>
      </c>
      <c r="R8">
        <f>IF(Q8-N8&lt;=0, 0, Q8-N8)</f>
        <v>0</v>
      </c>
      <c r="S8">
        <f>I8-P8</f>
        <v>6.55</v>
      </c>
      <c r="T8">
        <f>S8*Constants!$B$2</f>
        <v>18.34</v>
      </c>
      <c r="V8">
        <f>IF(B8="E",1,0)</f>
        <v>0</v>
      </c>
      <c r="W8">
        <f>IF(B8=10,1,0)</f>
        <v>0</v>
      </c>
      <c r="AA8" s="8"/>
      <c r="AJ8" s="4"/>
    </row>
    <row r="9" spans="1:40" x14ac:dyDescent="0.25">
      <c r="A9">
        <v>8</v>
      </c>
      <c r="B9">
        <v>7</v>
      </c>
      <c r="C9" t="s">
        <v>62</v>
      </c>
      <c r="D9" s="16" t="s">
        <v>153</v>
      </c>
      <c r="F9">
        <v>92.24</v>
      </c>
      <c r="G9" t="s">
        <v>44</v>
      </c>
      <c r="H9">
        <v>0</v>
      </c>
      <c r="I9">
        <v>93.59</v>
      </c>
      <c r="L9">
        <f>Constants!$B$2</f>
        <v>2.8</v>
      </c>
      <c r="M9" t="str">
        <f t="shared" ref="M9" si="8">IF(N9&gt;0,G9,"N/A")</f>
        <v>N/A</v>
      </c>
      <c r="N9">
        <f>P9*Constants!$E$2</f>
        <v>0</v>
      </c>
      <c r="P9">
        <f t="shared" si="1"/>
        <v>0</v>
      </c>
      <c r="Q9">
        <f>P9*Constants!$B$3</f>
        <v>0</v>
      </c>
      <c r="R9">
        <f t="shared" si="2"/>
        <v>0</v>
      </c>
      <c r="S9">
        <f t="shared" si="3"/>
        <v>93.59</v>
      </c>
      <c r="T9">
        <f>S9*Constants!$B$2</f>
        <v>262.05200000000002</v>
      </c>
      <c r="V9">
        <f t="shared" ref="V9" si="9">IF(B9="E",1,0)</f>
        <v>0</v>
      </c>
      <c r="W9">
        <f t="shared" ref="W9" si="10">IF(B9=10,1,0)</f>
        <v>0</v>
      </c>
      <c r="AA9" s="8"/>
      <c r="AJ9" s="4"/>
    </row>
    <row r="10" spans="1:40" x14ac:dyDescent="0.25">
      <c r="A10">
        <v>9</v>
      </c>
      <c r="B10">
        <v>7</v>
      </c>
      <c r="C10" t="s">
        <v>59</v>
      </c>
      <c r="D10" s="16" t="s">
        <v>154</v>
      </c>
      <c r="F10">
        <v>39.01</v>
      </c>
      <c r="G10">
        <v>90</v>
      </c>
      <c r="H10">
        <v>6</v>
      </c>
      <c r="I10">
        <f>2*(6+8)</f>
        <v>28</v>
      </c>
      <c r="L10">
        <f>Constants!$B$2</f>
        <v>2.8</v>
      </c>
      <c r="M10">
        <f t="shared" si="0"/>
        <v>90</v>
      </c>
      <c r="N10">
        <f>P10*Constants!$E$2</f>
        <v>10.199999999999999</v>
      </c>
      <c r="P10">
        <f t="shared" si="1"/>
        <v>6</v>
      </c>
      <c r="Q10">
        <f>P10*Constants!$B$3</f>
        <v>25.199999999999996</v>
      </c>
      <c r="R10">
        <f t="shared" si="2"/>
        <v>14.999999999999996</v>
      </c>
      <c r="S10">
        <f t="shared" si="3"/>
        <v>22</v>
      </c>
      <c r="T10">
        <f>S10*Constants!$B$2</f>
        <v>61.599999999999994</v>
      </c>
      <c r="V10">
        <f t="shared" si="4"/>
        <v>0</v>
      </c>
      <c r="W10">
        <f t="shared" si="5"/>
        <v>0</v>
      </c>
      <c r="AA10" s="8"/>
      <c r="AJ10" s="4"/>
    </row>
    <row r="11" spans="1:40" x14ac:dyDescent="0.25">
      <c r="A11">
        <v>10</v>
      </c>
      <c r="B11">
        <v>7</v>
      </c>
      <c r="C11" t="s">
        <v>57</v>
      </c>
      <c r="D11" s="16" t="s">
        <v>155</v>
      </c>
      <c r="E11" s="16" t="s">
        <v>154</v>
      </c>
      <c r="F11">
        <v>2.4</v>
      </c>
      <c r="G11" t="s">
        <v>44</v>
      </c>
      <c r="H11">
        <v>0</v>
      </c>
      <c r="I11">
        <v>6.55</v>
      </c>
      <c r="L11">
        <f>Constants!$B$2</f>
        <v>2.8</v>
      </c>
      <c r="M11" t="str">
        <f t="shared" si="0"/>
        <v>N/A</v>
      </c>
      <c r="N11">
        <f>P11*Constants!$E$2</f>
        <v>0</v>
      </c>
      <c r="P11">
        <f>H11</f>
        <v>0</v>
      </c>
      <c r="Q11">
        <f>P11*Constants!$B$3</f>
        <v>0</v>
      </c>
      <c r="R11">
        <f>IF(Q11-N11&lt;=0, 0, Q11-N11)</f>
        <v>0</v>
      </c>
      <c r="S11">
        <f>I11-P11</f>
        <v>6.55</v>
      </c>
      <c r="T11">
        <f>S11*Constants!$B$2</f>
        <v>18.34</v>
      </c>
      <c r="V11">
        <f>IF(B11="E",1,0)</f>
        <v>0</v>
      </c>
      <c r="W11">
        <f>IF(B11=10,1,0)</f>
        <v>0</v>
      </c>
      <c r="AA11" s="8"/>
      <c r="AJ11" s="4"/>
    </row>
    <row r="12" spans="1:40" x14ac:dyDescent="0.25">
      <c r="A12">
        <v>11</v>
      </c>
      <c r="B12">
        <v>7</v>
      </c>
      <c r="C12" t="s">
        <v>45</v>
      </c>
      <c r="D12" s="16" t="s">
        <v>156</v>
      </c>
      <c r="E12" s="16"/>
      <c r="F12">
        <v>7.76</v>
      </c>
      <c r="G12" t="s">
        <v>44</v>
      </c>
      <c r="H12">
        <v>0</v>
      </c>
      <c r="I12">
        <f>2*(3.7+2.4)</f>
        <v>12.2</v>
      </c>
      <c r="L12">
        <f>Constants!$B$2</f>
        <v>2.8</v>
      </c>
      <c r="M12" t="str">
        <f t="shared" si="0"/>
        <v>N/A</v>
      </c>
      <c r="N12">
        <f>P12*Constants!$E$2</f>
        <v>0</v>
      </c>
      <c r="P12">
        <f t="shared" si="1"/>
        <v>0</v>
      </c>
      <c r="Q12">
        <f>P12*Constants!$B$3</f>
        <v>0</v>
      </c>
      <c r="R12">
        <f t="shared" si="2"/>
        <v>0</v>
      </c>
      <c r="S12">
        <f t="shared" si="3"/>
        <v>12.2</v>
      </c>
      <c r="T12">
        <f>S12*Constants!$B$2</f>
        <v>34.159999999999997</v>
      </c>
      <c r="V12">
        <f t="shared" si="4"/>
        <v>0</v>
      </c>
      <c r="W12">
        <f t="shared" si="5"/>
        <v>0</v>
      </c>
      <c r="AA12" s="8"/>
      <c r="AJ12" s="4"/>
    </row>
    <row r="13" spans="1:40" x14ac:dyDescent="0.25">
      <c r="A13">
        <v>12</v>
      </c>
      <c r="B13">
        <v>7</v>
      </c>
      <c r="C13" t="s">
        <v>49</v>
      </c>
      <c r="D13" s="16" t="s">
        <v>157</v>
      </c>
      <c r="F13">
        <v>11.46</v>
      </c>
      <c r="G13">
        <v>90</v>
      </c>
      <c r="H13">
        <v>3</v>
      </c>
      <c r="I13">
        <f>2*(4.3+3)</f>
        <v>14.6</v>
      </c>
      <c r="L13">
        <f>Constants!$B$2</f>
        <v>2.8</v>
      </c>
      <c r="M13">
        <f t="shared" si="0"/>
        <v>90</v>
      </c>
      <c r="N13">
        <f>P13*Constants!$E$2</f>
        <v>5.0999999999999996</v>
      </c>
      <c r="P13">
        <f t="shared" si="1"/>
        <v>3</v>
      </c>
      <c r="Q13">
        <f>P13*Constants!$B$3</f>
        <v>12.599999999999998</v>
      </c>
      <c r="R13">
        <f t="shared" si="2"/>
        <v>7.4999999999999982</v>
      </c>
      <c r="S13">
        <f t="shared" si="3"/>
        <v>11.6</v>
      </c>
      <c r="T13">
        <f>S13*Constants!$B$2</f>
        <v>32.479999999999997</v>
      </c>
      <c r="V13">
        <f t="shared" si="4"/>
        <v>0</v>
      </c>
      <c r="W13">
        <f t="shared" si="5"/>
        <v>0</v>
      </c>
      <c r="AA13" s="8"/>
      <c r="AJ13" s="4"/>
    </row>
    <row r="14" spans="1:40" x14ac:dyDescent="0.25">
      <c r="A14">
        <v>13</v>
      </c>
      <c r="B14">
        <v>7</v>
      </c>
      <c r="C14" t="s">
        <v>49</v>
      </c>
      <c r="D14" s="16" t="s">
        <v>158</v>
      </c>
      <c r="F14">
        <v>26.87</v>
      </c>
      <c r="G14">
        <v>90</v>
      </c>
      <c r="H14">
        <v>3</v>
      </c>
      <c r="I14">
        <f>2*(8+4.8)</f>
        <v>25.6</v>
      </c>
      <c r="L14">
        <f>Constants!$B$2</f>
        <v>2.8</v>
      </c>
      <c r="M14">
        <f t="shared" si="0"/>
        <v>90</v>
      </c>
      <c r="N14">
        <f>P14*Constants!$E$2</f>
        <v>5.0999999999999996</v>
      </c>
      <c r="P14">
        <f t="shared" si="1"/>
        <v>3</v>
      </c>
      <c r="Q14">
        <f>P14*Constants!$B$3</f>
        <v>12.599999999999998</v>
      </c>
      <c r="R14">
        <f t="shared" si="2"/>
        <v>7.4999999999999982</v>
      </c>
      <c r="S14">
        <f t="shared" si="3"/>
        <v>22.6</v>
      </c>
      <c r="T14">
        <f>S14*Constants!$B$2</f>
        <v>63.28</v>
      </c>
      <c r="V14">
        <f t="shared" si="4"/>
        <v>0</v>
      </c>
      <c r="W14">
        <f t="shared" si="5"/>
        <v>0</v>
      </c>
      <c r="AA14" s="8"/>
      <c r="AJ14" s="4"/>
    </row>
    <row r="15" spans="1:40" x14ac:dyDescent="0.25">
      <c r="A15">
        <v>14</v>
      </c>
      <c r="B15">
        <v>7</v>
      </c>
      <c r="C15" t="s">
        <v>57</v>
      </c>
      <c r="D15" s="16" t="s">
        <v>159</v>
      </c>
      <c r="E15" s="16" t="s">
        <v>158</v>
      </c>
      <c r="F15">
        <v>2.4</v>
      </c>
      <c r="G15" t="s">
        <v>44</v>
      </c>
      <c r="H15">
        <v>0</v>
      </c>
      <c r="I15">
        <v>6.55</v>
      </c>
      <c r="L15">
        <f>Constants!$B$2</f>
        <v>2.8</v>
      </c>
      <c r="M15" t="str">
        <f t="shared" si="0"/>
        <v>N/A</v>
      </c>
      <c r="N15">
        <f>P15*Constants!$E$2</f>
        <v>0</v>
      </c>
      <c r="P15">
        <f>H15</f>
        <v>0</v>
      </c>
      <c r="Q15">
        <f>P15*Constants!$B$3</f>
        <v>0</v>
      </c>
      <c r="R15">
        <f>IF(Q15-N15&lt;=0, 0, Q15-N15)</f>
        <v>0</v>
      </c>
      <c r="S15">
        <f>I15-P15</f>
        <v>6.55</v>
      </c>
      <c r="T15">
        <f>S15*Constants!$B$2</f>
        <v>18.34</v>
      </c>
      <c r="V15">
        <f>IF(B15="E",1,0)</f>
        <v>0</v>
      </c>
      <c r="W15">
        <f>IF(B15=10,1,0)</f>
        <v>0</v>
      </c>
      <c r="AA15" s="8"/>
      <c r="AJ15" s="4"/>
    </row>
    <row r="16" spans="1:40" x14ac:dyDescent="0.25">
      <c r="A16">
        <v>15</v>
      </c>
      <c r="B16">
        <v>7</v>
      </c>
      <c r="C16" t="s">
        <v>49</v>
      </c>
      <c r="D16" s="16" t="s">
        <v>160</v>
      </c>
      <c r="F16">
        <v>25.3</v>
      </c>
      <c r="G16">
        <v>90</v>
      </c>
      <c r="H16">
        <v>3.6</v>
      </c>
      <c r="I16">
        <f>2*(3.6+7.9)</f>
        <v>23</v>
      </c>
      <c r="L16">
        <f>Constants!$B$2</f>
        <v>2.8</v>
      </c>
      <c r="M16">
        <f t="shared" si="0"/>
        <v>90</v>
      </c>
      <c r="N16">
        <f>P16*Constants!$E$2</f>
        <v>6.12</v>
      </c>
      <c r="P16">
        <f t="shared" si="1"/>
        <v>3.6</v>
      </c>
      <c r="Q16">
        <f>P16*Constants!$B$3</f>
        <v>15.119999999999997</v>
      </c>
      <c r="R16">
        <f t="shared" si="2"/>
        <v>8.9999999999999964</v>
      </c>
      <c r="S16">
        <f t="shared" si="3"/>
        <v>19.399999999999999</v>
      </c>
      <c r="T16">
        <f>S16*Constants!$B$2</f>
        <v>54.319999999999993</v>
      </c>
      <c r="V16">
        <f t="shared" si="4"/>
        <v>0</v>
      </c>
      <c r="W16">
        <f t="shared" si="5"/>
        <v>0</v>
      </c>
      <c r="AA16" s="8"/>
      <c r="AJ16" s="4"/>
    </row>
    <row r="17" spans="1:36" x14ac:dyDescent="0.25">
      <c r="A17">
        <v>16</v>
      </c>
      <c r="B17">
        <v>7</v>
      </c>
      <c r="C17" t="s">
        <v>57</v>
      </c>
      <c r="D17" s="16" t="s">
        <v>161</v>
      </c>
      <c r="E17" s="16" t="s">
        <v>160</v>
      </c>
      <c r="F17">
        <v>2.4</v>
      </c>
      <c r="G17" t="s">
        <v>44</v>
      </c>
      <c r="H17">
        <v>0</v>
      </c>
      <c r="I17">
        <v>6.55</v>
      </c>
      <c r="L17">
        <f>Constants!$B$2</f>
        <v>2.8</v>
      </c>
      <c r="M17" t="str">
        <f t="shared" si="0"/>
        <v>N/A</v>
      </c>
      <c r="N17">
        <f>P17*Constants!$E$2</f>
        <v>0</v>
      </c>
      <c r="P17">
        <f>H17</f>
        <v>0</v>
      </c>
      <c r="Q17">
        <f>P17*Constants!$B$3</f>
        <v>0</v>
      </c>
      <c r="R17">
        <f>IF(Q17-N17&lt;=0, 0, Q17-N17)</f>
        <v>0</v>
      </c>
      <c r="S17">
        <f>I17-P17</f>
        <v>6.55</v>
      </c>
      <c r="T17">
        <f>S17*Constants!$B$2</f>
        <v>18.34</v>
      </c>
      <c r="V17">
        <f>IF(B17="E",1,0)</f>
        <v>0</v>
      </c>
      <c r="W17">
        <f>IF(B17=10,1,0)</f>
        <v>0</v>
      </c>
      <c r="AA17" s="8"/>
      <c r="AJ17" s="4"/>
    </row>
    <row r="18" spans="1:36" x14ac:dyDescent="0.25">
      <c r="A18">
        <v>17</v>
      </c>
      <c r="B18">
        <v>7</v>
      </c>
      <c r="C18" t="s">
        <v>49</v>
      </c>
      <c r="D18" s="16" t="s">
        <v>162</v>
      </c>
      <c r="F18">
        <v>25.3</v>
      </c>
      <c r="G18">
        <v>90</v>
      </c>
      <c r="H18">
        <v>3.6</v>
      </c>
      <c r="I18">
        <f>2*(3.6+7.9)</f>
        <v>23</v>
      </c>
      <c r="L18">
        <f>Constants!$B$2</f>
        <v>2.8</v>
      </c>
      <c r="M18">
        <f t="shared" si="0"/>
        <v>90</v>
      </c>
      <c r="N18">
        <f>P18*Constants!$E$2</f>
        <v>6.12</v>
      </c>
      <c r="P18">
        <f t="shared" si="1"/>
        <v>3.6</v>
      </c>
      <c r="Q18">
        <f>P18*Constants!$B$3</f>
        <v>15.119999999999997</v>
      </c>
      <c r="R18">
        <f t="shared" si="2"/>
        <v>8.9999999999999964</v>
      </c>
      <c r="S18">
        <f t="shared" si="3"/>
        <v>19.399999999999999</v>
      </c>
      <c r="T18">
        <f>S18*Constants!$B$2</f>
        <v>54.319999999999993</v>
      </c>
      <c r="V18">
        <f t="shared" si="4"/>
        <v>0</v>
      </c>
      <c r="W18">
        <f t="shared" si="5"/>
        <v>0</v>
      </c>
      <c r="AA18" s="8"/>
      <c r="AJ18" s="4"/>
    </row>
    <row r="19" spans="1:36" x14ac:dyDescent="0.25">
      <c r="A19">
        <v>18</v>
      </c>
      <c r="B19">
        <v>7</v>
      </c>
      <c r="C19" t="s">
        <v>57</v>
      </c>
      <c r="D19" s="16" t="s">
        <v>163</v>
      </c>
      <c r="E19" s="16" t="s">
        <v>162</v>
      </c>
      <c r="F19">
        <v>2.4</v>
      </c>
      <c r="G19" t="s">
        <v>44</v>
      </c>
      <c r="H19">
        <v>0</v>
      </c>
      <c r="I19">
        <v>6.55</v>
      </c>
      <c r="L19">
        <f>Constants!$B$2</f>
        <v>2.8</v>
      </c>
      <c r="M19" t="str">
        <f t="shared" si="0"/>
        <v>N/A</v>
      </c>
      <c r="N19">
        <f>P19*Constants!$E$2</f>
        <v>0</v>
      </c>
      <c r="P19">
        <f>H19</f>
        <v>0</v>
      </c>
      <c r="Q19">
        <f>P19*Constants!$B$3</f>
        <v>0</v>
      </c>
      <c r="R19">
        <f>IF(Q19-N19&lt;=0, 0, Q19-N19)</f>
        <v>0</v>
      </c>
      <c r="S19">
        <f>I19-P19</f>
        <v>6.55</v>
      </c>
      <c r="T19">
        <f>S19*Constants!$B$2</f>
        <v>18.34</v>
      </c>
      <c r="V19">
        <f>IF(B19="E",1,0)</f>
        <v>0</v>
      </c>
      <c r="W19">
        <f>IF(B19=10,1,0)</f>
        <v>0</v>
      </c>
      <c r="AA19" s="8"/>
      <c r="AJ19" s="4"/>
    </row>
    <row r="20" spans="1:36" x14ac:dyDescent="0.25">
      <c r="A20">
        <v>19</v>
      </c>
      <c r="B20">
        <v>7</v>
      </c>
      <c r="C20" t="s">
        <v>49</v>
      </c>
      <c r="D20" s="16" t="s">
        <v>164</v>
      </c>
      <c r="E20" s="16"/>
      <c r="F20">
        <v>25.47</v>
      </c>
      <c r="G20">
        <v>90</v>
      </c>
      <c r="H20">
        <f>3.6+3.3</f>
        <v>6.9</v>
      </c>
      <c r="I20">
        <f>2*(3.6+7.9)</f>
        <v>23</v>
      </c>
      <c r="L20">
        <f>Constants!$B$2</f>
        <v>2.8</v>
      </c>
      <c r="M20">
        <f t="shared" si="0"/>
        <v>90</v>
      </c>
      <c r="N20">
        <f>P20*Constants!$E$2</f>
        <v>11.73</v>
      </c>
      <c r="P20">
        <f t="shared" si="1"/>
        <v>6.9</v>
      </c>
      <c r="Q20">
        <f>P20*Constants!$B$3</f>
        <v>28.979999999999997</v>
      </c>
      <c r="R20">
        <f t="shared" si="2"/>
        <v>17.249999999999996</v>
      </c>
      <c r="S20">
        <f t="shared" si="3"/>
        <v>16.100000000000001</v>
      </c>
      <c r="T20">
        <f>S20*Constants!$B$2</f>
        <v>45.08</v>
      </c>
      <c r="V20">
        <f t="shared" si="4"/>
        <v>0</v>
      </c>
      <c r="W20">
        <f t="shared" si="5"/>
        <v>0</v>
      </c>
      <c r="AA20" s="8"/>
      <c r="AJ20" s="4"/>
    </row>
    <row r="21" spans="1:36" x14ac:dyDescent="0.25">
      <c r="A21">
        <v>20</v>
      </c>
      <c r="B21">
        <v>7</v>
      </c>
      <c r="C21" t="s">
        <v>57</v>
      </c>
      <c r="D21" s="16" t="s">
        <v>165</v>
      </c>
      <c r="E21" s="16" t="s">
        <v>164</v>
      </c>
      <c r="F21">
        <v>2.4</v>
      </c>
      <c r="G21" t="s">
        <v>44</v>
      </c>
      <c r="H21">
        <v>0</v>
      </c>
      <c r="I21">
        <v>6.55</v>
      </c>
      <c r="L21">
        <f>Constants!$B$2</f>
        <v>2.8</v>
      </c>
      <c r="M21" t="str">
        <f t="shared" si="0"/>
        <v>N/A</v>
      </c>
      <c r="N21">
        <f>P21*Constants!$E$2</f>
        <v>0</v>
      </c>
      <c r="P21">
        <f>H21</f>
        <v>0</v>
      </c>
      <c r="Q21">
        <f>P21*Constants!$B$3</f>
        <v>0</v>
      </c>
      <c r="R21">
        <f>IF(Q21-N21&lt;=0, 0, Q21-N21)</f>
        <v>0</v>
      </c>
      <c r="S21">
        <f>I21-P21</f>
        <v>6.55</v>
      </c>
      <c r="T21">
        <f>S21*Constants!$B$2</f>
        <v>18.34</v>
      </c>
      <c r="V21">
        <f>IF(B21="E",1,0)</f>
        <v>0</v>
      </c>
      <c r="W21">
        <f>IF(B21=10,1,0)</f>
        <v>0</v>
      </c>
      <c r="AA21" s="8"/>
      <c r="AJ21" s="4"/>
    </row>
    <row r="22" spans="1:36" x14ac:dyDescent="0.25">
      <c r="A22">
        <v>21</v>
      </c>
      <c r="B22">
        <v>7</v>
      </c>
      <c r="C22" t="s">
        <v>64</v>
      </c>
      <c r="D22" s="16" t="s">
        <v>166</v>
      </c>
      <c r="F22">
        <v>3.72</v>
      </c>
      <c r="G22">
        <v>90</v>
      </c>
      <c r="H22">
        <v>1.3</v>
      </c>
      <c r="I22">
        <f>2*(2.8+1.3)</f>
        <v>8.1999999999999993</v>
      </c>
      <c r="L22">
        <f>Constants!$B$2</f>
        <v>2.8</v>
      </c>
      <c r="M22">
        <f t="shared" si="0"/>
        <v>90</v>
      </c>
      <c r="N22">
        <f>P22*Constants!$E$2</f>
        <v>2.21</v>
      </c>
      <c r="P22">
        <f t="shared" si="1"/>
        <v>1.3</v>
      </c>
      <c r="Q22">
        <f>P22*Constants!$B$3</f>
        <v>5.4599999999999991</v>
      </c>
      <c r="R22">
        <f t="shared" si="2"/>
        <v>3.2499999999999991</v>
      </c>
      <c r="S22">
        <f t="shared" si="3"/>
        <v>6.8999999999999995</v>
      </c>
      <c r="T22">
        <f>S22*Constants!$B$2</f>
        <v>19.319999999999997</v>
      </c>
      <c r="V22">
        <f t="shared" si="4"/>
        <v>0</v>
      </c>
      <c r="W22">
        <f t="shared" si="5"/>
        <v>0</v>
      </c>
      <c r="AA22" s="8"/>
      <c r="AJ22" s="4"/>
    </row>
    <row r="23" spans="1:36" x14ac:dyDescent="0.25">
      <c r="A23">
        <v>22</v>
      </c>
      <c r="B23">
        <v>7</v>
      </c>
      <c r="C23" t="s">
        <v>64</v>
      </c>
      <c r="D23" s="16" t="s">
        <v>167</v>
      </c>
      <c r="F23">
        <v>3.72</v>
      </c>
      <c r="G23">
        <v>90</v>
      </c>
      <c r="H23">
        <v>1.3</v>
      </c>
      <c r="I23">
        <f>2*(2.8+1.3)</f>
        <v>8.1999999999999993</v>
      </c>
      <c r="L23">
        <f>Constants!$B$2</f>
        <v>2.8</v>
      </c>
      <c r="M23">
        <f t="shared" si="0"/>
        <v>90</v>
      </c>
      <c r="N23">
        <f>P23*Constants!$E$2</f>
        <v>2.21</v>
      </c>
      <c r="P23">
        <f t="shared" si="1"/>
        <v>1.3</v>
      </c>
      <c r="Q23">
        <f>P23*Constants!$B$3</f>
        <v>5.4599999999999991</v>
      </c>
      <c r="R23">
        <f t="shared" si="2"/>
        <v>3.2499999999999991</v>
      </c>
      <c r="S23">
        <f t="shared" si="3"/>
        <v>6.8999999999999995</v>
      </c>
      <c r="T23">
        <f>S23*Constants!$B$2</f>
        <v>19.319999999999997</v>
      </c>
      <c r="V23">
        <f t="shared" si="4"/>
        <v>0</v>
      </c>
      <c r="W23">
        <f t="shared" si="5"/>
        <v>0</v>
      </c>
      <c r="AA23" s="8"/>
      <c r="AJ23" s="4"/>
    </row>
    <row r="24" spans="1:36" x14ac:dyDescent="0.25">
      <c r="A24">
        <v>23</v>
      </c>
      <c r="B24">
        <v>7</v>
      </c>
      <c r="C24" t="s">
        <v>49</v>
      </c>
      <c r="D24" s="16" t="s">
        <v>168</v>
      </c>
      <c r="F24">
        <v>25.47</v>
      </c>
      <c r="G24">
        <v>270</v>
      </c>
      <c r="H24">
        <f>3.6+3.3</f>
        <v>6.9</v>
      </c>
      <c r="I24">
        <f>2*(3.6+7.9)</f>
        <v>23</v>
      </c>
      <c r="L24">
        <f>Constants!$B$2</f>
        <v>2.8</v>
      </c>
      <c r="M24">
        <f t="shared" si="0"/>
        <v>270</v>
      </c>
      <c r="N24">
        <f>P24*Constants!$E$2</f>
        <v>11.73</v>
      </c>
      <c r="P24">
        <f t="shared" si="1"/>
        <v>6.9</v>
      </c>
      <c r="Q24">
        <f>P24*Constants!$B$3</f>
        <v>28.979999999999997</v>
      </c>
      <c r="R24">
        <f t="shared" si="2"/>
        <v>17.249999999999996</v>
      </c>
      <c r="S24">
        <f t="shared" si="3"/>
        <v>16.100000000000001</v>
      </c>
      <c r="T24">
        <f>S24*Constants!$B$2</f>
        <v>45.08</v>
      </c>
      <c r="V24">
        <f t="shared" si="4"/>
        <v>0</v>
      </c>
      <c r="W24">
        <f t="shared" si="5"/>
        <v>0</v>
      </c>
      <c r="AA24" s="8"/>
      <c r="AJ24" s="4"/>
    </row>
    <row r="25" spans="1:36" x14ac:dyDescent="0.25">
      <c r="A25">
        <v>24</v>
      </c>
      <c r="B25">
        <v>7</v>
      </c>
      <c r="C25" t="s">
        <v>57</v>
      </c>
      <c r="D25" s="16" t="s">
        <v>169</v>
      </c>
      <c r="E25" s="16" t="s">
        <v>168</v>
      </c>
      <c r="F25">
        <v>2.4</v>
      </c>
      <c r="G25" t="s">
        <v>44</v>
      </c>
      <c r="H25">
        <v>0</v>
      </c>
      <c r="I25">
        <v>6.55</v>
      </c>
      <c r="L25">
        <f>Constants!$B$2</f>
        <v>2.8</v>
      </c>
      <c r="M25" t="str">
        <f t="shared" si="0"/>
        <v>N/A</v>
      </c>
      <c r="N25">
        <f>P25*Constants!$E$2</f>
        <v>0</v>
      </c>
      <c r="P25">
        <f>H25</f>
        <v>0</v>
      </c>
      <c r="Q25">
        <f>P25*Constants!$B$3</f>
        <v>0</v>
      </c>
      <c r="R25">
        <f>IF(Q25-N25&lt;=0, 0, Q25-N25)</f>
        <v>0</v>
      </c>
      <c r="S25">
        <f>I25-P25</f>
        <v>6.55</v>
      </c>
      <c r="T25">
        <f>S25*Constants!$B$2</f>
        <v>18.34</v>
      </c>
      <c r="V25">
        <f>IF(B25="E",1,0)</f>
        <v>0</v>
      </c>
      <c r="W25">
        <f>IF(B25=10,1,0)</f>
        <v>0</v>
      </c>
      <c r="AA25" s="8"/>
      <c r="AJ25" s="4"/>
    </row>
    <row r="26" spans="1:36" x14ac:dyDescent="0.25">
      <c r="A26">
        <v>25</v>
      </c>
      <c r="B26">
        <v>7</v>
      </c>
      <c r="C26" t="s">
        <v>49</v>
      </c>
      <c r="D26" s="16" t="s">
        <v>170</v>
      </c>
      <c r="F26">
        <v>25.3</v>
      </c>
      <c r="G26">
        <v>270</v>
      </c>
      <c r="H26">
        <v>3.6</v>
      </c>
      <c r="I26">
        <v>23</v>
      </c>
      <c r="L26">
        <f>Constants!$B$2</f>
        <v>2.8</v>
      </c>
      <c r="M26">
        <f t="shared" si="0"/>
        <v>270</v>
      </c>
      <c r="N26">
        <f>P26*Constants!$E$2</f>
        <v>6.12</v>
      </c>
      <c r="P26">
        <f t="shared" si="1"/>
        <v>3.6</v>
      </c>
      <c r="Q26">
        <f>P26*Constants!$B$3</f>
        <v>15.119999999999997</v>
      </c>
      <c r="R26">
        <f t="shared" si="2"/>
        <v>8.9999999999999964</v>
      </c>
      <c r="S26">
        <f t="shared" si="3"/>
        <v>19.399999999999999</v>
      </c>
      <c r="T26">
        <f>S26*Constants!$B$2</f>
        <v>54.319999999999993</v>
      </c>
      <c r="V26">
        <f t="shared" si="4"/>
        <v>0</v>
      </c>
      <c r="W26">
        <f t="shared" si="5"/>
        <v>0</v>
      </c>
      <c r="AA26" s="8"/>
      <c r="AJ26" s="4"/>
    </row>
    <row r="27" spans="1:36" x14ac:dyDescent="0.25">
      <c r="A27">
        <v>26</v>
      </c>
      <c r="B27">
        <v>7</v>
      </c>
      <c r="C27" t="s">
        <v>57</v>
      </c>
      <c r="D27" s="16" t="s">
        <v>171</v>
      </c>
      <c r="E27" s="16" t="s">
        <v>170</v>
      </c>
      <c r="F27">
        <v>2.4</v>
      </c>
      <c r="G27" t="s">
        <v>44</v>
      </c>
      <c r="H27">
        <v>0</v>
      </c>
      <c r="I27">
        <v>6.55</v>
      </c>
      <c r="L27">
        <f>Constants!$B$2</f>
        <v>2.8</v>
      </c>
      <c r="M27" t="str">
        <f t="shared" si="0"/>
        <v>N/A</v>
      </c>
      <c r="N27">
        <f>P27*Constants!$E$2</f>
        <v>0</v>
      </c>
      <c r="P27">
        <f>H27</f>
        <v>0</v>
      </c>
      <c r="Q27">
        <f>P27*Constants!$B$3</f>
        <v>0</v>
      </c>
      <c r="R27">
        <f>IF(Q27-N27&lt;=0, 0, Q27-N27)</f>
        <v>0</v>
      </c>
      <c r="S27">
        <f>I27-P27</f>
        <v>6.55</v>
      </c>
      <c r="T27">
        <f>S27*Constants!$B$2</f>
        <v>18.34</v>
      </c>
      <c r="V27">
        <f>IF(B27="E",1,0)</f>
        <v>0</v>
      </c>
      <c r="W27">
        <f>IF(B27=10,1,0)</f>
        <v>0</v>
      </c>
      <c r="AA27" s="8"/>
      <c r="AJ27" s="4"/>
    </row>
    <row r="28" spans="1:36" x14ac:dyDescent="0.25">
      <c r="A28">
        <v>27</v>
      </c>
      <c r="B28">
        <v>7</v>
      </c>
      <c r="C28" t="s">
        <v>49</v>
      </c>
      <c r="D28" s="16" t="s">
        <v>172</v>
      </c>
      <c r="F28">
        <v>25.3</v>
      </c>
      <c r="G28">
        <v>270</v>
      </c>
      <c r="H28">
        <v>3.6</v>
      </c>
      <c r="I28">
        <v>23</v>
      </c>
      <c r="L28">
        <f>Constants!$B$2</f>
        <v>2.8</v>
      </c>
      <c r="M28">
        <f t="shared" si="0"/>
        <v>270</v>
      </c>
      <c r="N28">
        <f>P28*Constants!$E$2</f>
        <v>6.12</v>
      </c>
      <c r="P28">
        <f t="shared" si="1"/>
        <v>3.6</v>
      </c>
      <c r="Q28">
        <f>P28*Constants!$B$3</f>
        <v>15.119999999999997</v>
      </c>
      <c r="R28">
        <f t="shared" si="2"/>
        <v>8.9999999999999964</v>
      </c>
      <c r="S28">
        <f t="shared" si="3"/>
        <v>19.399999999999999</v>
      </c>
      <c r="T28">
        <f>S28*Constants!$B$2</f>
        <v>54.319999999999993</v>
      </c>
      <c r="V28">
        <f t="shared" si="4"/>
        <v>0</v>
      </c>
      <c r="W28">
        <f t="shared" si="5"/>
        <v>0</v>
      </c>
      <c r="AA28" s="8"/>
      <c r="AJ28" s="4"/>
    </row>
    <row r="29" spans="1:36" x14ac:dyDescent="0.25">
      <c r="A29">
        <v>28</v>
      </c>
      <c r="B29">
        <v>7</v>
      </c>
      <c r="C29" t="s">
        <v>57</v>
      </c>
      <c r="D29" s="16" t="s">
        <v>173</v>
      </c>
      <c r="E29" s="16" t="s">
        <v>172</v>
      </c>
      <c r="F29">
        <v>2.4</v>
      </c>
      <c r="G29" t="s">
        <v>44</v>
      </c>
      <c r="H29">
        <v>0</v>
      </c>
      <c r="I29">
        <v>6.55</v>
      </c>
      <c r="L29">
        <f>Constants!$B$2</f>
        <v>2.8</v>
      </c>
      <c r="M29" t="str">
        <f t="shared" si="0"/>
        <v>N/A</v>
      </c>
      <c r="N29">
        <f>P29*Constants!$E$2</f>
        <v>0</v>
      </c>
      <c r="P29">
        <f>H29</f>
        <v>0</v>
      </c>
      <c r="Q29">
        <f>P29*Constants!$B$3</f>
        <v>0</v>
      </c>
      <c r="R29">
        <f>IF(Q29-N29&lt;=0, 0, Q29-N29)</f>
        <v>0</v>
      </c>
      <c r="S29">
        <f>I29-P29</f>
        <v>6.55</v>
      </c>
      <c r="T29">
        <f>S29*Constants!$B$2</f>
        <v>18.34</v>
      </c>
      <c r="V29">
        <f>IF(B29="E",1,0)</f>
        <v>0</v>
      </c>
      <c r="W29">
        <f>IF(B29=10,1,0)</f>
        <v>0</v>
      </c>
      <c r="AA29" s="8"/>
      <c r="AJ29" s="4"/>
    </row>
    <row r="30" spans="1:36" x14ac:dyDescent="0.25">
      <c r="A30">
        <v>29</v>
      </c>
      <c r="B30">
        <v>7</v>
      </c>
      <c r="C30" t="s">
        <v>45</v>
      </c>
      <c r="D30" s="16" t="s">
        <v>174</v>
      </c>
      <c r="F30">
        <v>26.87</v>
      </c>
      <c r="G30">
        <v>270</v>
      </c>
      <c r="H30">
        <v>2.9</v>
      </c>
      <c r="I30">
        <f>2*(8+4.8)</f>
        <v>25.6</v>
      </c>
      <c r="L30">
        <f>Constants!$B$2</f>
        <v>2.8</v>
      </c>
      <c r="M30">
        <f t="shared" si="0"/>
        <v>270</v>
      </c>
      <c r="N30">
        <f>P30*Constants!$E$2</f>
        <v>4.93</v>
      </c>
      <c r="P30">
        <f t="shared" si="1"/>
        <v>2.9</v>
      </c>
      <c r="Q30">
        <f>P30*Constants!$B$3</f>
        <v>12.179999999999998</v>
      </c>
      <c r="R30">
        <f t="shared" si="2"/>
        <v>7.2499999999999982</v>
      </c>
      <c r="S30">
        <f t="shared" si="3"/>
        <v>22.700000000000003</v>
      </c>
      <c r="T30">
        <f>S30*Constants!$B$2</f>
        <v>63.56</v>
      </c>
      <c r="V30">
        <f t="shared" si="4"/>
        <v>0</v>
      </c>
      <c r="W30">
        <f t="shared" si="5"/>
        <v>0</v>
      </c>
      <c r="AA30" s="8"/>
      <c r="AJ30" s="4"/>
    </row>
    <row r="31" spans="1:36" x14ac:dyDescent="0.25">
      <c r="A31">
        <v>30</v>
      </c>
      <c r="B31">
        <v>7</v>
      </c>
      <c r="C31" t="s">
        <v>57</v>
      </c>
      <c r="D31" s="16" t="s">
        <v>173</v>
      </c>
      <c r="E31" s="16" t="s">
        <v>174</v>
      </c>
      <c r="F31">
        <v>2.4</v>
      </c>
      <c r="G31" t="s">
        <v>44</v>
      </c>
      <c r="H31">
        <v>0</v>
      </c>
      <c r="I31">
        <v>6.55</v>
      </c>
      <c r="L31">
        <f>Constants!$B$2</f>
        <v>2.8</v>
      </c>
      <c r="M31" t="str">
        <f t="shared" si="0"/>
        <v>N/A</v>
      </c>
      <c r="N31">
        <f>P31*Constants!$E$2</f>
        <v>0</v>
      </c>
      <c r="P31">
        <f>H31</f>
        <v>0</v>
      </c>
      <c r="Q31">
        <f>P31*Constants!$B$3</f>
        <v>0</v>
      </c>
      <c r="R31">
        <f>IF(Q31-N31&lt;=0, 0, Q31-N31)</f>
        <v>0</v>
      </c>
      <c r="S31">
        <f>I31-P31</f>
        <v>6.55</v>
      </c>
      <c r="T31">
        <f>S31*Constants!$B$2</f>
        <v>18.34</v>
      </c>
      <c r="V31">
        <f>IF(B31="E",1,0)</f>
        <v>0</v>
      </c>
      <c r="W31">
        <f>IF(B31=10,1,0)</f>
        <v>0</v>
      </c>
      <c r="AA31" s="8"/>
      <c r="AJ31" s="4"/>
    </row>
    <row r="32" spans="1:36" x14ac:dyDescent="0.25">
      <c r="A32">
        <v>31</v>
      </c>
      <c r="B32">
        <v>7</v>
      </c>
      <c r="C32" t="s">
        <v>45</v>
      </c>
      <c r="D32" s="16" t="s">
        <v>175</v>
      </c>
      <c r="F32">
        <v>11.46</v>
      </c>
      <c r="G32">
        <v>270</v>
      </c>
      <c r="H32">
        <v>3.1</v>
      </c>
      <c r="I32">
        <f>2*(3.1+4.3)</f>
        <v>14.8</v>
      </c>
      <c r="L32">
        <f>Constants!$B$2</f>
        <v>2.8</v>
      </c>
      <c r="M32">
        <f t="shared" si="0"/>
        <v>270</v>
      </c>
      <c r="N32">
        <f>P32*Constants!$E$2</f>
        <v>5.27</v>
      </c>
      <c r="P32">
        <f t="shared" si="1"/>
        <v>3.1</v>
      </c>
      <c r="Q32">
        <f>P32*Constants!$B$3</f>
        <v>13.019999999999998</v>
      </c>
      <c r="R32">
        <f t="shared" si="2"/>
        <v>7.7499999999999982</v>
      </c>
      <c r="S32">
        <f t="shared" si="3"/>
        <v>11.700000000000001</v>
      </c>
      <c r="T32">
        <f>S32*Constants!$B$2</f>
        <v>32.76</v>
      </c>
      <c r="V32">
        <f t="shared" si="4"/>
        <v>0</v>
      </c>
      <c r="W32">
        <f t="shared" si="5"/>
        <v>0</v>
      </c>
      <c r="AA32" s="8"/>
      <c r="AJ32" s="4"/>
    </row>
    <row r="33" spans="1:36" x14ac:dyDescent="0.25">
      <c r="A33">
        <v>32</v>
      </c>
      <c r="B33">
        <v>7</v>
      </c>
      <c r="C33" t="s">
        <v>45</v>
      </c>
      <c r="D33" s="16" t="s">
        <v>176</v>
      </c>
      <c r="F33">
        <v>7.76</v>
      </c>
      <c r="G33" t="s">
        <v>44</v>
      </c>
      <c r="H33">
        <v>0</v>
      </c>
      <c r="I33">
        <f>2*(3.7+2.4)</f>
        <v>12.2</v>
      </c>
      <c r="L33">
        <f>Constants!$B$2</f>
        <v>2.8</v>
      </c>
      <c r="M33" t="str">
        <f t="shared" si="0"/>
        <v>N/A</v>
      </c>
      <c r="N33">
        <f>P33*Constants!$E$2</f>
        <v>0</v>
      </c>
      <c r="P33">
        <f t="shared" si="1"/>
        <v>0</v>
      </c>
      <c r="Q33">
        <f>P33*Constants!$B$3</f>
        <v>0</v>
      </c>
      <c r="R33">
        <f t="shared" si="2"/>
        <v>0</v>
      </c>
      <c r="S33">
        <f t="shared" si="3"/>
        <v>12.2</v>
      </c>
      <c r="T33">
        <f>S33*Constants!$B$2</f>
        <v>34.159999999999997</v>
      </c>
      <c r="V33">
        <f t="shared" si="4"/>
        <v>0</v>
      </c>
      <c r="W33">
        <f t="shared" si="5"/>
        <v>0</v>
      </c>
      <c r="AA33" s="8"/>
      <c r="AJ33" s="4"/>
    </row>
    <row r="34" spans="1:36" x14ac:dyDescent="0.25">
      <c r="A34">
        <v>33</v>
      </c>
      <c r="B34">
        <v>7</v>
      </c>
      <c r="C34" t="s">
        <v>49</v>
      </c>
      <c r="D34" s="16" t="s">
        <v>177</v>
      </c>
      <c r="E34" s="16"/>
      <c r="F34">
        <v>11.46</v>
      </c>
      <c r="G34">
        <v>270</v>
      </c>
      <c r="H34">
        <v>3.1</v>
      </c>
      <c r="I34">
        <f>2*(3.1+4.3)</f>
        <v>14.8</v>
      </c>
      <c r="L34">
        <f>Constants!$B$2</f>
        <v>2.8</v>
      </c>
      <c r="M34">
        <f t="shared" si="0"/>
        <v>270</v>
      </c>
      <c r="N34">
        <f>P34*Constants!$E$2</f>
        <v>5.27</v>
      </c>
      <c r="P34">
        <f t="shared" si="1"/>
        <v>3.1</v>
      </c>
      <c r="Q34">
        <f>P34*Constants!$B$3</f>
        <v>13.019999999999998</v>
      </c>
      <c r="R34">
        <f t="shared" si="2"/>
        <v>7.7499999999999982</v>
      </c>
      <c r="S34">
        <f t="shared" si="3"/>
        <v>11.700000000000001</v>
      </c>
      <c r="T34">
        <f>S34*Constants!$B$2</f>
        <v>32.76</v>
      </c>
      <c r="V34">
        <f t="shared" si="4"/>
        <v>0</v>
      </c>
      <c r="W34">
        <f t="shared" si="5"/>
        <v>0</v>
      </c>
      <c r="AA34" s="8"/>
      <c r="AJ34" s="4"/>
    </row>
    <row r="35" spans="1:36" x14ac:dyDescent="0.25">
      <c r="A35">
        <v>34</v>
      </c>
      <c r="B35">
        <v>7</v>
      </c>
      <c r="C35" t="s">
        <v>49</v>
      </c>
      <c r="D35" s="16" t="s">
        <v>178</v>
      </c>
      <c r="F35">
        <v>26.87</v>
      </c>
      <c r="G35">
        <v>270</v>
      </c>
      <c r="H35">
        <v>2.9</v>
      </c>
      <c r="I35">
        <f>2*(8+4.8)</f>
        <v>25.6</v>
      </c>
      <c r="L35">
        <f>Constants!$B$2</f>
        <v>2.8</v>
      </c>
      <c r="M35">
        <f t="shared" si="0"/>
        <v>270</v>
      </c>
      <c r="N35">
        <f>P35*Constants!$E$2</f>
        <v>4.93</v>
      </c>
      <c r="P35">
        <f t="shared" si="1"/>
        <v>2.9</v>
      </c>
      <c r="Q35">
        <f>P35*Constants!$B$3</f>
        <v>12.179999999999998</v>
      </c>
      <c r="R35">
        <f t="shared" si="2"/>
        <v>7.2499999999999982</v>
      </c>
      <c r="S35">
        <f t="shared" si="3"/>
        <v>22.700000000000003</v>
      </c>
      <c r="T35">
        <f>S35*Constants!$B$2</f>
        <v>63.56</v>
      </c>
      <c r="V35">
        <f t="shared" si="4"/>
        <v>0</v>
      </c>
      <c r="W35">
        <f t="shared" si="5"/>
        <v>0</v>
      </c>
      <c r="AA35" s="8"/>
      <c r="AJ35" s="4"/>
    </row>
    <row r="36" spans="1:36" x14ac:dyDescent="0.25">
      <c r="A36">
        <v>35</v>
      </c>
      <c r="B36">
        <v>7</v>
      </c>
      <c r="C36" t="s">
        <v>57</v>
      </c>
      <c r="D36" s="16" t="s">
        <v>179</v>
      </c>
      <c r="E36" s="16" t="s">
        <v>178</v>
      </c>
      <c r="F36">
        <v>2.4</v>
      </c>
      <c r="G36" t="s">
        <v>44</v>
      </c>
      <c r="H36">
        <v>0</v>
      </c>
      <c r="I36">
        <v>6.55</v>
      </c>
      <c r="L36">
        <f>Constants!$B$2</f>
        <v>2.8</v>
      </c>
      <c r="M36" t="str">
        <f t="shared" si="0"/>
        <v>N/A</v>
      </c>
      <c r="N36">
        <f>P36*Constants!$E$2</f>
        <v>0</v>
      </c>
      <c r="P36">
        <f>H36</f>
        <v>0</v>
      </c>
      <c r="Q36">
        <f>P36*Constants!$B$3</f>
        <v>0</v>
      </c>
      <c r="R36">
        <f>IF(Q36-N36&lt;=0, 0, Q36-N36)</f>
        <v>0</v>
      </c>
      <c r="S36">
        <f>I36-P36</f>
        <v>6.55</v>
      </c>
      <c r="T36">
        <f>S36*Constants!$B$2</f>
        <v>18.34</v>
      </c>
      <c r="V36">
        <f>IF(B36="E",1,0)</f>
        <v>0</v>
      </c>
      <c r="W36">
        <f>IF(B36=10,1,0)</f>
        <v>0</v>
      </c>
      <c r="AA36" s="8"/>
      <c r="AJ36" s="4"/>
    </row>
    <row r="37" spans="1:36" x14ac:dyDescent="0.25">
      <c r="A37">
        <v>36</v>
      </c>
      <c r="B37">
        <v>7</v>
      </c>
      <c r="C37" t="s">
        <v>49</v>
      </c>
      <c r="D37" s="16" t="s">
        <v>180</v>
      </c>
      <c r="F37">
        <v>25.3</v>
      </c>
      <c r="G37">
        <v>270</v>
      </c>
      <c r="H37">
        <v>3.6</v>
      </c>
      <c r="I37">
        <v>23</v>
      </c>
      <c r="L37">
        <f>Constants!$B$2</f>
        <v>2.8</v>
      </c>
      <c r="M37">
        <f t="shared" si="0"/>
        <v>270</v>
      </c>
      <c r="N37">
        <f>P37*Constants!$E$2</f>
        <v>6.12</v>
      </c>
      <c r="P37">
        <f t="shared" si="1"/>
        <v>3.6</v>
      </c>
      <c r="Q37">
        <f>P37*Constants!$B$3</f>
        <v>15.119999999999997</v>
      </c>
      <c r="R37">
        <f t="shared" si="2"/>
        <v>8.9999999999999964</v>
      </c>
      <c r="S37">
        <f t="shared" si="3"/>
        <v>19.399999999999999</v>
      </c>
      <c r="T37">
        <f>S37*Constants!$B$2</f>
        <v>54.319999999999993</v>
      </c>
      <c r="V37">
        <f t="shared" si="4"/>
        <v>0</v>
      </c>
      <c r="W37">
        <f t="shared" si="5"/>
        <v>0</v>
      </c>
      <c r="AA37" s="8"/>
      <c r="AJ37" s="4"/>
    </row>
    <row r="38" spans="1:36" x14ac:dyDescent="0.25">
      <c r="A38">
        <v>37</v>
      </c>
      <c r="B38">
        <v>7</v>
      </c>
      <c r="C38" t="s">
        <v>57</v>
      </c>
      <c r="D38" s="16" t="s">
        <v>181</v>
      </c>
      <c r="E38" s="16" t="s">
        <v>180</v>
      </c>
      <c r="F38">
        <v>2.4</v>
      </c>
      <c r="G38" t="s">
        <v>44</v>
      </c>
      <c r="H38">
        <v>0</v>
      </c>
      <c r="I38">
        <v>6.55</v>
      </c>
      <c r="L38">
        <f>Constants!$B$2</f>
        <v>2.8</v>
      </c>
      <c r="M38" t="str">
        <f t="shared" ref="M38" si="11">IF(N38&gt;0,G38,"N/A")</f>
        <v>N/A</v>
      </c>
      <c r="N38">
        <f>P38*Constants!$E$2</f>
        <v>0</v>
      </c>
      <c r="P38">
        <f>H38</f>
        <v>0</v>
      </c>
      <c r="Q38">
        <f>P38*Constants!$B$3</f>
        <v>0</v>
      </c>
      <c r="R38">
        <f>IF(Q38-N38&lt;=0, 0, Q38-N38)</f>
        <v>0</v>
      </c>
      <c r="S38">
        <f>I38-P38</f>
        <v>6.55</v>
      </c>
      <c r="T38">
        <f>S38*Constants!$B$2</f>
        <v>18.34</v>
      </c>
      <c r="V38">
        <f>IF(B38="E",1,0)</f>
        <v>0</v>
      </c>
      <c r="W38">
        <f>IF(B38=10,1,0)</f>
        <v>0</v>
      </c>
      <c r="AA38" s="8"/>
      <c r="AJ38" s="4"/>
    </row>
    <row r="39" spans="1:36" x14ac:dyDescent="0.25">
      <c r="A39">
        <v>38</v>
      </c>
      <c r="B39">
        <v>7</v>
      </c>
      <c r="C39" t="s">
        <v>49</v>
      </c>
      <c r="D39" s="16" t="s">
        <v>182</v>
      </c>
      <c r="F39">
        <v>25.3</v>
      </c>
      <c r="G39">
        <v>270</v>
      </c>
      <c r="H39">
        <v>3.6</v>
      </c>
      <c r="I39">
        <v>23</v>
      </c>
      <c r="L39">
        <f>Constants!$B$2</f>
        <v>2.8</v>
      </c>
      <c r="M39">
        <f t="shared" si="0"/>
        <v>270</v>
      </c>
      <c r="N39">
        <f>P39*Constants!$E$2</f>
        <v>6.12</v>
      </c>
      <c r="P39">
        <f t="shared" si="1"/>
        <v>3.6</v>
      </c>
      <c r="Q39">
        <f>P39*Constants!$B$3</f>
        <v>15.119999999999997</v>
      </c>
      <c r="R39">
        <f t="shared" si="2"/>
        <v>8.9999999999999964</v>
      </c>
      <c r="S39">
        <f t="shared" si="3"/>
        <v>19.399999999999999</v>
      </c>
      <c r="T39">
        <f>S39*Constants!$B$2</f>
        <v>54.319999999999993</v>
      </c>
      <c r="V39">
        <f t="shared" si="4"/>
        <v>0</v>
      </c>
      <c r="W39">
        <f t="shared" si="5"/>
        <v>0</v>
      </c>
      <c r="AA39" s="8"/>
      <c r="AJ39" s="4"/>
    </row>
    <row r="40" spans="1:36" x14ac:dyDescent="0.25">
      <c r="A40">
        <v>39</v>
      </c>
      <c r="B40">
        <v>7</v>
      </c>
      <c r="C40" t="s">
        <v>57</v>
      </c>
      <c r="D40" s="16" t="s">
        <v>183</v>
      </c>
      <c r="E40" s="16" t="s">
        <v>182</v>
      </c>
      <c r="F40">
        <v>2.4</v>
      </c>
      <c r="G40" t="s">
        <v>44</v>
      </c>
      <c r="H40">
        <v>0</v>
      </c>
      <c r="I40">
        <v>6.55</v>
      </c>
      <c r="L40">
        <f>Constants!$B$2</f>
        <v>2.8</v>
      </c>
      <c r="M40" t="str">
        <f t="shared" ref="M40" si="12">IF(N40&gt;0,G40,"N/A")</f>
        <v>N/A</v>
      </c>
      <c r="N40">
        <f>P40*Constants!$E$2</f>
        <v>0</v>
      </c>
      <c r="P40">
        <f>H40</f>
        <v>0</v>
      </c>
      <c r="Q40">
        <f>P40*Constants!$B$3</f>
        <v>0</v>
      </c>
      <c r="R40">
        <f>IF(Q40-N40&lt;=0, 0, Q40-N40)</f>
        <v>0</v>
      </c>
      <c r="S40">
        <f>I40-P40</f>
        <v>6.55</v>
      </c>
      <c r="T40">
        <f>S40*Constants!$B$2</f>
        <v>18.34</v>
      </c>
      <c r="V40">
        <f>IF(B40="E",1,0)</f>
        <v>0</v>
      </c>
      <c r="W40">
        <f>IF(B40=10,1,0)</f>
        <v>0</v>
      </c>
      <c r="AA40" s="8"/>
      <c r="AJ40" s="4"/>
    </row>
    <row r="41" spans="1:36" x14ac:dyDescent="0.25">
      <c r="A41">
        <v>40</v>
      </c>
      <c r="B41">
        <v>7</v>
      </c>
      <c r="C41" t="s">
        <v>49</v>
      </c>
      <c r="D41" s="16" t="s">
        <v>184</v>
      </c>
      <c r="F41">
        <v>25.3</v>
      </c>
      <c r="G41">
        <v>270</v>
      </c>
      <c r="H41">
        <v>3.6</v>
      </c>
      <c r="I41">
        <v>23</v>
      </c>
      <c r="L41">
        <f>Constants!$B$2</f>
        <v>2.8</v>
      </c>
      <c r="M41">
        <f t="shared" si="0"/>
        <v>270</v>
      </c>
      <c r="N41">
        <f>P41*Constants!$E$2</f>
        <v>6.12</v>
      </c>
      <c r="P41">
        <f t="shared" si="1"/>
        <v>3.6</v>
      </c>
      <c r="Q41">
        <f>P41*Constants!$B$3</f>
        <v>15.119999999999997</v>
      </c>
      <c r="R41">
        <f t="shared" si="2"/>
        <v>8.9999999999999964</v>
      </c>
      <c r="S41">
        <f t="shared" si="3"/>
        <v>19.399999999999999</v>
      </c>
      <c r="T41">
        <f>S41*Constants!$B$2</f>
        <v>54.319999999999993</v>
      </c>
      <c r="V41">
        <f t="shared" si="4"/>
        <v>0</v>
      </c>
      <c r="W41">
        <f t="shared" si="5"/>
        <v>0</v>
      </c>
      <c r="AA41" s="8"/>
      <c r="AJ41" s="4"/>
    </row>
    <row r="42" spans="1:36" x14ac:dyDescent="0.25">
      <c r="A42">
        <v>41</v>
      </c>
      <c r="B42">
        <v>7</v>
      </c>
      <c r="C42" t="s">
        <v>57</v>
      </c>
      <c r="D42" s="16" t="s">
        <v>185</v>
      </c>
      <c r="E42" s="16" t="s">
        <v>184</v>
      </c>
      <c r="F42">
        <v>2.4</v>
      </c>
      <c r="G42" t="s">
        <v>44</v>
      </c>
      <c r="H42">
        <v>0</v>
      </c>
      <c r="I42">
        <v>6.55</v>
      </c>
      <c r="L42">
        <f>Constants!$B$2</f>
        <v>2.8</v>
      </c>
      <c r="M42" t="str">
        <f t="shared" ref="M42" si="13">IF(N42&gt;0,G42,"N/A")</f>
        <v>N/A</v>
      </c>
      <c r="N42">
        <f>P42*Constants!$E$2</f>
        <v>0</v>
      </c>
      <c r="P42">
        <f>H42</f>
        <v>0</v>
      </c>
      <c r="Q42">
        <f>P42*Constants!$B$3</f>
        <v>0</v>
      </c>
      <c r="R42">
        <f>IF(Q42-N42&lt;=0, 0, Q42-N42)</f>
        <v>0</v>
      </c>
      <c r="S42">
        <f>I42-P42</f>
        <v>6.55</v>
      </c>
      <c r="T42">
        <f>S42*Constants!$B$2</f>
        <v>18.34</v>
      </c>
      <c r="V42">
        <f>IF(B42="E",1,0)</f>
        <v>0</v>
      </c>
      <c r="W42">
        <f>IF(B42=10,1,0)</f>
        <v>0</v>
      </c>
      <c r="AA42" s="8"/>
      <c r="AJ42" s="4"/>
    </row>
    <row r="43" spans="1:36" x14ac:dyDescent="0.25">
      <c r="A43">
        <v>42</v>
      </c>
      <c r="B43">
        <v>7</v>
      </c>
      <c r="C43" t="s">
        <v>59</v>
      </c>
      <c r="D43" s="16" t="s">
        <v>186</v>
      </c>
      <c r="F43">
        <v>13.31</v>
      </c>
      <c r="G43" t="s">
        <v>44</v>
      </c>
      <c r="H43">
        <v>0</v>
      </c>
      <c r="I43">
        <f>2*(4.8+3.2)</f>
        <v>16</v>
      </c>
      <c r="L43">
        <f>Constants!$B$2</f>
        <v>2.8</v>
      </c>
      <c r="M43" t="str">
        <f t="shared" si="0"/>
        <v>N/A</v>
      </c>
      <c r="N43">
        <f>P43*Constants!$E$2</f>
        <v>0</v>
      </c>
      <c r="P43">
        <f t="shared" si="1"/>
        <v>0</v>
      </c>
      <c r="Q43">
        <f>P43*Constants!$B$3</f>
        <v>0</v>
      </c>
      <c r="R43">
        <f t="shared" si="2"/>
        <v>0</v>
      </c>
      <c r="S43">
        <f t="shared" si="3"/>
        <v>16</v>
      </c>
      <c r="T43">
        <f>S43*Constants!$B$2</f>
        <v>44.8</v>
      </c>
      <c r="V43">
        <f t="shared" si="4"/>
        <v>0</v>
      </c>
      <c r="W43">
        <f t="shared" si="5"/>
        <v>0</v>
      </c>
      <c r="AA43" s="8"/>
      <c r="AJ43" s="4"/>
    </row>
    <row r="44" spans="1:36" x14ac:dyDescent="0.25">
      <c r="A44">
        <v>43</v>
      </c>
      <c r="B44">
        <v>7</v>
      </c>
      <c r="C44" t="s">
        <v>62</v>
      </c>
      <c r="D44" s="16" t="s">
        <v>187</v>
      </c>
      <c r="F44">
        <v>20.76</v>
      </c>
      <c r="G44">
        <v>90</v>
      </c>
      <c r="H44">
        <v>3.2</v>
      </c>
      <c r="I44">
        <f>2*(5.3+3.2)</f>
        <v>17</v>
      </c>
      <c r="L44">
        <f>Constants!$B$2</f>
        <v>2.8</v>
      </c>
      <c r="M44">
        <f t="shared" si="0"/>
        <v>90</v>
      </c>
      <c r="N44">
        <f>P44*Constants!$E$2</f>
        <v>5.44</v>
      </c>
      <c r="P44">
        <f t="shared" si="1"/>
        <v>3.2</v>
      </c>
      <c r="Q44">
        <f>P44*Constants!$B$3</f>
        <v>13.439999999999998</v>
      </c>
      <c r="R44">
        <f t="shared" si="2"/>
        <v>7.9999999999999973</v>
      </c>
      <c r="S44">
        <f t="shared" si="3"/>
        <v>13.8</v>
      </c>
      <c r="T44">
        <f>S44*Constants!$B$2</f>
        <v>38.64</v>
      </c>
      <c r="V44">
        <f t="shared" si="4"/>
        <v>0</v>
      </c>
      <c r="W44">
        <f t="shared" si="5"/>
        <v>0</v>
      </c>
      <c r="AA44" s="8"/>
      <c r="AJ44" s="4"/>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5"/>
    </row>
    <row r="452" spans="4:4" x14ac:dyDescent="0.25">
      <c r="D452" s="15"/>
    </row>
    <row r="453" spans="4:4" x14ac:dyDescent="0.25">
      <c r="D453" s="15"/>
    </row>
    <row r="454" spans="4:4" x14ac:dyDescent="0.25">
      <c r="D454" s="15"/>
    </row>
    <row r="455" spans="4:4" x14ac:dyDescent="0.25">
      <c r="D455" s="14"/>
    </row>
    <row r="456" spans="4:4" x14ac:dyDescent="0.25">
      <c r="D456" s="14"/>
    </row>
    <row r="457" spans="4:4" x14ac:dyDescent="0.25">
      <c r="D457" s="13"/>
    </row>
    <row r="458" spans="4:4" x14ac:dyDescent="0.25">
      <c r="D458" s="13"/>
    </row>
    <row r="459" spans="4:4" x14ac:dyDescent="0.25">
      <c r="D459" s="13"/>
    </row>
    <row r="460" spans="4:4" x14ac:dyDescent="0.25">
      <c r="D460" s="13"/>
    </row>
    <row r="461" spans="4:4" x14ac:dyDescent="0.25">
      <c r="D461" s="13"/>
    </row>
    <row r="462" spans="4:4" x14ac:dyDescent="0.25">
      <c r="D462" s="13"/>
    </row>
    <row r="463" spans="4:4" x14ac:dyDescent="0.25">
      <c r="D463" s="13"/>
    </row>
    <row r="464" spans="4:4" x14ac:dyDescent="0.25">
      <c r="D464" s="13"/>
    </row>
  </sheetData>
  <pageMargins left="0.7" right="0.7" top="0.78740157499999996" bottom="0.78740157499999996"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4"/>
  <sheetViews>
    <sheetView zoomScaleNormal="100" workbookViewId="0">
      <pane xSplit="4" ySplit="1" topLeftCell="I2" activePane="bottomRight" state="frozen"/>
      <selection pane="topRight" activeCell="F1" sqref="F1"/>
      <selection pane="bottomLeft" activeCell="A2" sqref="A2"/>
      <selection pane="bottomRight" activeCell="I4" sqref="I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54</v>
      </c>
      <c r="D2" s="16" t="s">
        <v>188</v>
      </c>
      <c r="F2">
        <v>18.95</v>
      </c>
      <c r="G2" t="s">
        <v>44</v>
      </c>
      <c r="H2">
        <v>0</v>
      </c>
      <c r="I2">
        <f>1.2*(3.5+4)</f>
        <v>9</v>
      </c>
      <c r="L2">
        <f>Constants!$B$2</f>
        <v>2.8</v>
      </c>
      <c r="M2" t="str">
        <f t="shared" ref="M2" si="0">IF(N2&gt;0,G2,"N/A")</f>
        <v>N/A</v>
      </c>
      <c r="N2">
        <f>P2*Constants!$E$2</f>
        <v>0</v>
      </c>
      <c r="P2">
        <f>H2</f>
        <v>0</v>
      </c>
      <c r="Q2">
        <f>P2*Constants!$B$3</f>
        <v>0</v>
      </c>
      <c r="R2">
        <f>IF(Q2-N2&lt;=0, 0, Q2-N2)</f>
        <v>0</v>
      </c>
      <c r="S2">
        <f>I2-P2</f>
        <v>9</v>
      </c>
      <c r="T2">
        <f>S2*Constants!$B$2</f>
        <v>25.2</v>
      </c>
      <c r="V2">
        <f>IF(B2="E",1,0)</f>
        <v>0</v>
      </c>
      <c r="W2">
        <f>IF(B2=10,1,0)</f>
        <v>0</v>
      </c>
      <c r="AA2" s="8"/>
      <c r="AJ2" s="4"/>
    </row>
    <row r="3" spans="1:40" x14ac:dyDescent="0.25">
      <c r="A3">
        <v>2</v>
      </c>
      <c r="B3">
        <v>7</v>
      </c>
      <c r="C3" s="17" t="s">
        <v>54</v>
      </c>
      <c r="D3" s="16" t="s">
        <v>189</v>
      </c>
      <c r="F3">
        <v>24.76</v>
      </c>
      <c r="G3">
        <v>90</v>
      </c>
      <c r="H3">
        <v>3</v>
      </c>
      <c r="I3">
        <f>21.66</f>
        <v>21.66</v>
      </c>
      <c r="L3">
        <f>Constants!$B$2</f>
        <v>2.8</v>
      </c>
      <c r="M3">
        <f t="shared" ref="M3:M44" si="1">IF(N3&gt;0,G3,"N/A")</f>
        <v>90</v>
      </c>
      <c r="N3">
        <f>P3*Constants!$E$2</f>
        <v>5.0999999999999996</v>
      </c>
      <c r="P3">
        <f t="shared" ref="P3:P44" si="2">H3</f>
        <v>3</v>
      </c>
      <c r="Q3">
        <f>P3*Constants!$B$3</f>
        <v>12.599999999999998</v>
      </c>
      <c r="R3">
        <f t="shared" ref="R3:R44" si="3">IF(Q3-N3&lt;=0, 0, Q3-N3)</f>
        <v>7.4999999999999982</v>
      </c>
      <c r="S3">
        <f t="shared" ref="S3:S44" si="4">I3-P3</f>
        <v>18.66</v>
      </c>
      <c r="T3">
        <f>S3*Constants!$B$2</f>
        <v>52.247999999999998</v>
      </c>
      <c r="V3">
        <f t="shared" ref="V3:V44" si="5">IF(B3="E",1,0)</f>
        <v>0</v>
      </c>
      <c r="W3">
        <f t="shared" ref="W3:W44" si="6">IF(B3=10,1,0)</f>
        <v>0</v>
      </c>
      <c r="AA3" s="8"/>
      <c r="AJ3" s="4"/>
    </row>
    <row r="4" spans="1:40" x14ac:dyDescent="0.25">
      <c r="A4">
        <v>3</v>
      </c>
      <c r="B4">
        <v>7</v>
      </c>
      <c r="C4" t="s">
        <v>57</v>
      </c>
      <c r="D4" s="16" t="s">
        <v>190</v>
      </c>
      <c r="E4" s="16" t="s">
        <v>189</v>
      </c>
      <c r="F4">
        <v>2.4</v>
      </c>
      <c r="G4" t="s">
        <v>44</v>
      </c>
      <c r="H4">
        <v>0</v>
      </c>
      <c r="I4">
        <v>6.55</v>
      </c>
      <c r="L4">
        <f>Constants!$B$2</f>
        <v>2.8</v>
      </c>
      <c r="M4" t="str">
        <f t="shared" si="1"/>
        <v>N/A</v>
      </c>
      <c r="N4">
        <f>P4*Constants!$E$2</f>
        <v>0</v>
      </c>
      <c r="P4">
        <f t="shared" si="2"/>
        <v>0</v>
      </c>
      <c r="Q4">
        <f>P4*Constants!$B$3</f>
        <v>0</v>
      </c>
      <c r="R4">
        <f t="shared" si="3"/>
        <v>0</v>
      </c>
      <c r="S4">
        <f t="shared" si="4"/>
        <v>6.55</v>
      </c>
      <c r="T4">
        <f>S4*Constants!$B$2</f>
        <v>18.34</v>
      </c>
      <c r="V4">
        <f t="shared" si="5"/>
        <v>0</v>
      </c>
      <c r="W4">
        <f t="shared" si="6"/>
        <v>0</v>
      </c>
      <c r="AA4" s="8"/>
      <c r="AJ4" s="4"/>
    </row>
    <row r="5" spans="1:40" x14ac:dyDescent="0.25">
      <c r="A5">
        <v>4</v>
      </c>
      <c r="B5">
        <v>7</v>
      </c>
      <c r="C5" t="s">
        <v>49</v>
      </c>
      <c r="D5" s="16" t="s">
        <v>191</v>
      </c>
      <c r="F5">
        <v>24.58</v>
      </c>
      <c r="G5">
        <v>90</v>
      </c>
      <c r="H5">
        <v>3</v>
      </c>
      <c r="I5">
        <f t="shared" ref="I5:I7" si="7">21.66</f>
        <v>21.66</v>
      </c>
      <c r="L5">
        <f>Constants!$B$2</f>
        <v>2.8</v>
      </c>
      <c r="M5">
        <f t="shared" si="1"/>
        <v>90</v>
      </c>
      <c r="N5">
        <f>P5*Constants!$E$2</f>
        <v>5.0999999999999996</v>
      </c>
      <c r="P5">
        <f t="shared" si="2"/>
        <v>3</v>
      </c>
      <c r="Q5">
        <f>P5*Constants!$B$3</f>
        <v>12.599999999999998</v>
      </c>
      <c r="R5">
        <f t="shared" si="3"/>
        <v>7.4999999999999982</v>
      </c>
      <c r="S5">
        <f t="shared" si="4"/>
        <v>18.66</v>
      </c>
      <c r="T5">
        <f>S5*Constants!$B$2</f>
        <v>52.247999999999998</v>
      </c>
      <c r="V5">
        <f t="shared" si="5"/>
        <v>0</v>
      </c>
      <c r="W5">
        <f t="shared" si="6"/>
        <v>0</v>
      </c>
      <c r="AA5" s="8"/>
      <c r="AJ5" s="4"/>
    </row>
    <row r="6" spans="1:40" x14ac:dyDescent="0.25">
      <c r="A6">
        <v>5</v>
      </c>
      <c r="B6">
        <v>7</v>
      </c>
      <c r="C6" t="s">
        <v>57</v>
      </c>
      <c r="D6" s="16" t="s">
        <v>192</v>
      </c>
      <c r="E6" s="16" t="s">
        <v>191</v>
      </c>
      <c r="F6">
        <v>2.4</v>
      </c>
      <c r="G6" t="s">
        <v>44</v>
      </c>
      <c r="H6">
        <v>0</v>
      </c>
      <c r="I6">
        <v>6.55</v>
      </c>
      <c r="L6">
        <f>Constants!$B$2</f>
        <v>2.8</v>
      </c>
      <c r="M6" t="str">
        <f t="shared" si="1"/>
        <v>N/A</v>
      </c>
      <c r="N6">
        <f>P6*Constants!$E$2</f>
        <v>0</v>
      </c>
      <c r="P6">
        <f t="shared" si="2"/>
        <v>0</v>
      </c>
      <c r="Q6">
        <f>P6*Constants!$B$3</f>
        <v>0</v>
      </c>
      <c r="R6">
        <f t="shared" si="3"/>
        <v>0</v>
      </c>
      <c r="S6">
        <f t="shared" si="4"/>
        <v>6.55</v>
      </c>
      <c r="T6">
        <f>S6*Constants!$B$2</f>
        <v>18.34</v>
      </c>
      <c r="V6">
        <f t="shared" si="5"/>
        <v>0</v>
      </c>
      <c r="W6">
        <f t="shared" si="6"/>
        <v>0</v>
      </c>
      <c r="AA6" s="8"/>
      <c r="AJ6" s="4"/>
    </row>
    <row r="7" spans="1:40" x14ac:dyDescent="0.25">
      <c r="A7">
        <v>6</v>
      </c>
      <c r="B7">
        <v>7</v>
      </c>
      <c r="C7" t="s">
        <v>49</v>
      </c>
      <c r="D7" s="16" t="s">
        <v>193</v>
      </c>
      <c r="F7">
        <v>24.58</v>
      </c>
      <c r="G7">
        <v>90</v>
      </c>
      <c r="H7">
        <v>3</v>
      </c>
      <c r="I7">
        <f t="shared" si="7"/>
        <v>21.66</v>
      </c>
      <c r="L7">
        <f>Constants!$B$2</f>
        <v>2.8</v>
      </c>
      <c r="M7">
        <f t="shared" si="1"/>
        <v>90</v>
      </c>
      <c r="N7">
        <f>P7*Constants!$E$2</f>
        <v>5.0999999999999996</v>
      </c>
      <c r="P7">
        <f t="shared" si="2"/>
        <v>3</v>
      </c>
      <c r="Q7">
        <f>P7*Constants!$B$3</f>
        <v>12.599999999999998</v>
      </c>
      <c r="R7">
        <f t="shared" si="3"/>
        <v>7.4999999999999982</v>
      </c>
      <c r="S7">
        <f t="shared" si="4"/>
        <v>18.66</v>
      </c>
      <c r="T7">
        <f>S7*Constants!$B$2</f>
        <v>52.247999999999998</v>
      </c>
      <c r="V7">
        <f t="shared" si="5"/>
        <v>0</v>
      </c>
      <c r="W7">
        <f t="shared" si="6"/>
        <v>0</v>
      </c>
      <c r="AA7" s="8"/>
      <c r="AJ7" s="4"/>
    </row>
    <row r="8" spans="1:40" x14ac:dyDescent="0.25">
      <c r="A8">
        <v>7</v>
      </c>
      <c r="B8">
        <v>7</v>
      </c>
      <c r="C8" t="s">
        <v>57</v>
      </c>
      <c r="D8" s="16" t="s">
        <v>194</v>
      </c>
      <c r="E8" s="16" t="s">
        <v>193</v>
      </c>
      <c r="F8">
        <v>2.4</v>
      </c>
      <c r="G8" t="s">
        <v>44</v>
      </c>
      <c r="H8">
        <v>0</v>
      </c>
      <c r="I8">
        <v>6.55</v>
      </c>
      <c r="L8">
        <f>Constants!$B$2</f>
        <v>2.8</v>
      </c>
      <c r="M8" t="str">
        <f t="shared" si="1"/>
        <v>N/A</v>
      </c>
      <c r="N8">
        <f>P8*Constants!$E$2</f>
        <v>0</v>
      </c>
      <c r="P8">
        <f t="shared" si="2"/>
        <v>0</v>
      </c>
      <c r="Q8">
        <f>P8*Constants!$B$3</f>
        <v>0</v>
      </c>
      <c r="R8">
        <f t="shared" si="3"/>
        <v>0</v>
      </c>
      <c r="S8">
        <f t="shared" si="4"/>
        <v>6.55</v>
      </c>
      <c r="T8">
        <f>S8*Constants!$B$2</f>
        <v>18.34</v>
      </c>
      <c r="V8">
        <f t="shared" si="5"/>
        <v>0</v>
      </c>
      <c r="W8">
        <f t="shared" si="6"/>
        <v>0</v>
      </c>
      <c r="AA8" s="8"/>
      <c r="AJ8" s="4"/>
    </row>
    <row r="9" spans="1:40" x14ac:dyDescent="0.25">
      <c r="A9">
        <v>8</v>
      </c>
      <c r="B9">
        <v>7</v>
      </c>
      <c r="C9" t="s">
        <v>62</v>
      </c>
      <c r="D9" s="16" t="s">
        <v>195</v>
      </c>
      <c r="F9">
        <v>113.11</v>
      </c>
      <c r="G9" t="s">
        <v>44</v>
      </c>
      <c r="H9">
        <v>0</v>
      </c>
      <c r="I9">
        <v>93.59</v>
      </c>
      <c r="L9">
        <f>Constants!$B$2</f>
        <v>2.8</v>
      </c>
      <c r="M9" t="str">
        <f t="shared" si="1"/>
        <v>N/A</v>
      </c>
      <c r="N9">
        <f>P9*Constants!$E$2</f>
        <v>0</v>
      </c>
      <c r="P9">
        <f t="shared" si="2"/>
        <v>0</v>
      </c>
      <c r="Q9">
        <f>P9*Constants!$B$3</f>
        <v>0</v>
      </c>
      <c r="R9">
        <f t="shared" si="3"/>
        <v>0</v>
      </c>
      <c r="S9">
        <f t="shared" si="4"/>
        <v>93.59</v>
      </c>
      <c r="T9">
        <f>S9*Constants!$B$2</f>
        <v>262.05200000000002</v>
      </c>
      <c r="V9">
        <f t="shared" si="5"/>
        <v>0</v>
      </c>
      <c r="W9">
        <f t="shared" si="6"/>
        <v>0</v>
      </c>
      <c r="AA9" s="8"/>
      <c r="AJ9" s="4"/>
    </row>
    <row r="10" spans="1:40" x14ac:dyDescent="0.25">
      <c r="A10">
        <v>9</v>
      </c>
      <c r="B10">
        <v>7</v>
      </c>
      <c r="C10" t="s">
        <v>54</v>
      </c>
      <c r="D10" s="16" t="s">
        <v>196</v>
      </c>
      <c r="F10">
        <v>12.56</v>
      </c>
      <c r="G10">
        <v>90</v>
      </c>
      <c r="H10">
        <v>6</v>
      </c>
      <c r="I10">
        <f>2*(5.1+3)</f>
        <v>16.2</v>
      </c>
      <c r="L10">
        <f>Constants!$B$2</f>
        <v>2.8</v>
      </c>
      <c r="M10">
        <f t="shared" si="1"/>
        <v>90</v>
      </c>
      <c r="N10">
        <f>P10*Constants!$E$2</f>
        <v>10.199999999999999</v>
      </c>
      <c r="P10">
        <f t="shared" si="2"/>
        <v>6</v>
      </c>
      <c r="Q10">
        <f>P10*Constants!$B$3</f>
        <v>25.199999999999996</v>
      </c>
      <c r="R10">
        <f t="shared" si="3"/>
        <v>14.999999999999996</v>
      </c>
      <c r="S10">
        <f t="shared" si="4"/>
        <v>10.199999999999999</v>
      </c>
      <c r="T10">
        <f>S10*Constants!$B$2</f>
        <v>28.559999999999995</v>
      </c>
      <c r="V10">
        <f t="shared" si="5"/>
        <v>0</v>
      </c>
      <c r="W10">
        <f t="shared" si="6"/>
        <v>0</v>
      </c>
      <c r="AA10" s="8"/>
      <c r="AJ10" s="4"/>
    </row>
    <row r="11" spans="1:40" x14ac:dyDescent="0.25">
      <c r="A11">
        <v>10</v>
      </c>
      <c r="B11">
        <v>7</v>
      </c>
      <c r="C11" t="s">
        <v>57</v>
      </c>
      <c r="D11" s="16" t="s">
        <v>197</v>
      </c>
      <c r="E11" s="16" t="s">
        <v>196</v>
      </c>
      <c r="F11">
        <v>2.4</v>
      </c>
      <c r="G11" t="s">
        <v>44</v>
      </c>
      <c r="H11">
        <v>0</v>
      </c>
      <c r="I11">
        <v>6.55</v>
      </c>
      <c r="L11">
        <f>Constants!$B$2</f>
        <v>2.8</v>
      </c>
      <c r="M11" t="str">
        <f t="shared" si="1"/>
        <v>N/A</v>
      </c>
      <c r="N11">
        <f>P11*Constants!$E$2</f>
        <v>0</v>
      </c>
      <c r="P11">
        <f t="shared" si="2"/>
        <v>0</v>
      </c>
      <c r="Q11">
        <f>P11*Constants!$B$3</f>
        <v>0</v>
      </c>
      <c r="R11">
        <f t="shared" si="3"/>
        <v>0</v>
      </c>
      <c r="S11">
        <f t="shared" si="4"/>
        <v>6.55</v>
      </c>
      <c r="T11">
        <f>S11*Constants!$B$2</f>
        <v>18.34</v>
      </c>
      <c r="V11">
        <f t="shared" si="5"/>
        <v>0</v>
      </c>
      <c r="W11">
        <f t="shared" si="6"/>
        <v>0</v>
      </c>
      <c r="AA11" s="8"/>
      <c r="AJ11" s="4"/>
    </row>
    <row r="12" spans="1:40" x14ac:dyDescent="0.25">
      <c r="A12">
        <v>11</v>
      </c>
      <c r="B12">
        <v>7</v>
      </c>
      <c r="C12" t="s">
        <v>54</v>
      </c>
      <c r="D12" s="16" t="s">
        <v>198</v>
      </c>
      <c r="F12">
        <v>11.46</v>
      </c>
      <c r="G12">
        <v>90</v>
      </c>
      <c r="H12">
        <v>2.9</v>
      </c>
      <c r="I12">
        <f>1.2*(2.5+3.5)*2</f>
        <v>14.399999999999999</v>
      </c>
      <c r="L12">
        <f>Constants!$B$2</f>
        <v>2.8</v>
      </c>
      <c r="M12">
        <f t="shared" si="1"/>
        <v>90</v>
      </c>
      <c r="N12">
        <f>P12*Constants!$E$2</f>
        <v>4.93</v>
      </c>
      <c r="P12">
        <f t="shared" si="2"/>
        <v>2.9</v>
      </c>
      <c r="Q12">
        <f>P12*Constants!$B$3</f>
        <v>12.179999999999998</v>
      </c>
      <c r="R12">
        <f t="shared" si="3"/>
        <v>7.2499999999999982</v>
      </c>
      <c r="S12">
        <f t="shared" si="4"/>
        <v>11.499999999999998</v>
      </c>
      <c r="T12">
        <f>S12*Constants!$B$2</f>
        <v>32.199999999999996</v>
      </c>
      <c r="V12">
        <f t="shared" si="5"/>
        <v>0</v>
      </c>
      <c r="W12">
        <f t="shared" si="6"/>
        <v>0</v>
      </c>
      <c r="AA12" s="8"/>
      <c r="AJ12" s="4"/>
    </row>
    <row r="13" spans="1:40" x14ac:dyDescent="0.25">
      <c r="A13">
        <v>12</v>
      </c>
      <c r="B13">
        <v>7</v>
      </c>
      <c r="C13" t="s">
        <v>62</v>
      </c>
      <c r="D13" s="16" t="s">
        <v>228</v>
      </c>
      <c r="E13" s="16" t="s">
        <v>198</v>
      </c>
      <c r="F13">
        <v>10.81</v>
      </c>
      <c r="G13" t="s">
        <v>44</v>
      </c>
      <c r="H13">
        <v>0</v>
      </c>
      <c r="I13">
        <f>1.2*(3+3)*2</f>
        <v>14.399999999999999</v>
      </c>
      <c r="L13">
        <f>Constants!$B$2</f>
        <v>2.8</v>
      </c>
      <c r="M13" t="str">
        <f t="shared" si="1"/>
        <v>N/A</v>
      </c>
      <c r="N13">
        <f>P13*Constants!$E$2</f>
        <v>0</v>
      </c>
      <c r="P13">
        <f t="shared" si="2"/>
        <v>0</v>
      </c>
      <c r="Q13">
        <f>P13*Constants!$B$3</f>
        <v>0</v>
      </c>
      <c r="R13">
        <f t="shared" si="3"/>
        <v>0</v>
      </c>
      <c r="S13">
        <f t="shared" si="4"/>
        <v>14.399999999999999</v>
      </c>
      <c r="T13">
        <f>S13*Constants!$B$2</f>
        <v>40.319999999999993</v>
      </c>
      <c r="V13">
        <f t="shared" si="5"/>
        <v>0</v>
      </c>
      <c r="W13">
        <f t="shared" si="6"/>
        <v>0</v>
      </c>
      <c r="AA13" s="8"/>
      <c r="AJ13" s="4"/>
    </row>
    <row r="14" spans="1:40" x14ac:dyDescent="0.25">
      <c r="A14">
        <v>13</v>
      </c>
      <c r="B14">
        <v>7</v>
      </c>
      <c r="C14" t="s">
        <v>45</v>
      </c>
      <c r="D14" s="16" t="s">
        <v>199</v>
      </c>
      <c r="E14" s="16"/>
      <c r="F14">
        <v>7.76</v>
      </c>
      <c r="G14" t="s">
        <v>44</v>
      </c>
      <c r="H14">
        <v>0</v>
      </c>
      <c r="I14">
        <f>2*(3.7+2.4)</f>
        <v>12.2</v>
      </c>
      <c r="L14">
        <f>Constants!$B$2</f>
        <v>2.8</v>
      </c>
      <c r="M14" t="str">
        <f t="shared" si="1"/>
        <v>N/A</v>
      </c>
      <c r="N14">
        <f>P14*Constants!$E$2</f>
        <v>0</v>
      </c>
      <c r="P14">
        <f t="shared" si="2"/>
        <v>0</v>
      </c>
      <c r="Q14">
        <f>P14*Constants!$B$3</f>
        <v>0</v>
      </c>
      <c r="R14">
        <f t="shared" si="3"/>
        <v>0</v>
      </c>
      <c r="S14">
        <f t="shared" si="4"/>
        <v>12.2</v>
      </c>
      <c r="T14">
        <f>S14*Constants!$B$2</f>
        <v>34.159999999999997</v>
      </c>
      <c r="V14">
        <f t="shared" si="5"/>
        <v>0</v>
      </c>
      <c r="W14">
        <f t="shared" si="6"/>
        <v>0</v>
      </c>
      <c r="AA14" s="8"/>
      <c r="AJ14" s="4"/>
    </row>
    <row r="15" spans="1:40" x14ac:dyDescent="0.25">
      <c r="A15">
        <v>14</v>
      </c>
      <c r="B15">
        <v>7</v>
      </c>
      <c r="C15" t="s">
        <v>59</v>
      </c>
      <c r="D15" s="16" t="s">
        <v>200</v>
      </c>
      <c r="F15">
        <v>38.04</v>
      </c>
      <c r="G15">
        <v>90</v>
      </c>
      <c r="H15">
        <f>1.2*5</f>
        <v>6</v>
      </c>
      <c r="I15">
        <f>1.2*(5+6.5)*2</f>
        <v>27.599999999999998</v>
      </c>
      <c r="L15">
        <f>Constants!$B$2</f>
        <v>2.8</v>
      </c>
      <c r="M15">
        <f t="shared" si="1"/>
        <v>90</v>
      </c>
      <c r="N15">
        <f>P15*Constants!$E$2</f>
        <v>10.199999999999999</v>
      </c>
      <c r="P15">
        <f t="shared" si="2"/>
        <v>6</v>
      </c>
      <c r="Q15">
        <f>P15*Constants!$B$3</f>
        <v>25.199999999999996</v>
      </c>
      <c r="R15">
        <f t="shared" si="3"/>
        <v>14.999999999999996</v>
      </c>
      <c r="S15">
        <f t="shared" si="4"/>
        <v>21.599999999999998</v>
      </c>
      <c r="T15">
        <f>S15*Constants!$B$2</f>
        <v>60.47999999999999</v>
      </c>
      <c r="V15">
        <f t="shared" si="5"/>
        <v>0</v>
      </c>
      <c r="W15">
        <f t="shared" si="6"/>
        <v>0</v>
      </c>
      <c r="AA15" s="8"/>
      <c r="AJ15" s="4"/>
    </row>
    <row r="16" spans="1:40" x14ac:dyDescent="0.25">
      <c r="A16">
        <v>15</v>
      </c>
      <c r="B16">
        <v>7</v>
      </c>
      <c r="C16" t="s">
        <v>49</v>
      </c>
      <c r="D16" s="16" t="s">
        <v>201</v>
      </c>
      <c r="F16">
        <v>24.58</v>
      </c>
      <c r="G16">
        <v>90</v>
      </c>
      <c r="H16">
        <v>3.6</v>
      </c>
      <c r="I16">
        <f>2*(3.6+7.9)</f>
        <v>23</v>
      </c>
      <c r="L16">
        <f>Constants!$B$2</f>
        <v>2.8</v>
      </c>
      <c r="M16">
        <f t="shared" si="1"/>
        <v>90</v>
      </c>
      <c r="N16">
        <f>P16*Constants!$E$2</f>
        <v>6.12</v>
      </c>
      <c r="P16">
        <f t="shared" si="2"/>
        <v>3.6</v>
      </c>
      <c r="Q16">
        <f>P16*Constants!$B$3</f>
        <v>15.119999999999997</v>
      </c>
      <c r="R16">
        <f t="shared" si="3"/>
        <v>8.9999999999999964</v>
      </c>
      <c r="S16">
        <f t="shared" si="4"/>
        <v>19.399999999999999</v>
      </c>
      <c r="T16">
        <f>S16*Constants!$B$2</f>
        <v>54.319999999999993</v>
      </c>
      <c r="V16">
        <f t="shared" si="5"/>
        <v>0</v>
      </c>
      <c r="W16">
        <f t="shared" si="6"/>
        <v>0</v>
      </c>
      <c r="AA16" s="8"/>
      <c r="AJ16" s="4"/>
    </row>
    <row r="17" spans="1:36" x14ac:dyDescent="0.25">
      <c r="A17">
        <v>16</v>
      </c>
      <c r="B17">
        <v>7</v>
      </c>
      <c r="C17" t="s">
        <v>57</v>
      </c>
      <c r="D17" s="16" t="s">
        <v>202</v>
      </c>
      <c r="E17" s="16" t="s">
        <v>201</v>
      </c>
      <c r="F17">
        <v>2.4</v>
      </c>
      <c r="G17" t="s">
        <v>44</v>
      </c>
      <c r="H17">
        <v>0</v>
      </c>
      <c r="I17">
        <v>6.55</v>
      </c>
      <c r="L17">
        <f>Constants!$B$2</f>
        <v>2.8</v>
      </c>
      <c r="M17" t="str">
        <f t="shared" si="1"/>
        <v>N/A</v>
      </c>
      <c r="N17">
        <f>P17*Constants!$E$2</f>
        <v>0</v>
      </c>
      <c r="P17">
        <f t="shared" si="2"/>
        <v>0</v>
      </c>
      <c r="Q17">
        <f>P17*Constants!$B$3</f>
        <v>0</v>
      </c>
      <c r="R17">
        <f t="shared" si="3"/>
        <v>0</v>
      </c>
      <c r="S17">
        <f t="shared" si="4"/>
        <v>6.55</v>
      </c>
      <c r="T17">
        <f>S17*Constants!$B$2</f>
        <v>18.34</v>
      </c>
      <c r="V17">
        <f t="shared" si="5"/>
        <v>0</v>
      </c>
      <c r="W17">
        <f t="shared" si="6"/>
        <v>0</v>
      </c>
      <c r="AA17" s="8"/>
      <c r="AJ17" s="4"/>
    </row>
    <row r="18" spans="1:36" x14ac:dyDescent="0.25">
      <c r="A18">
        <v>17</v>
      </c>
      <c r="B18">
        <v>7</v>
      </c>
      <c r="C18" t="s">
        <v>49</v>
      </c>
      <c r="D18" s="16" t="s">
        <v>203</v>
      </c>
      <c r="F18">
        <v>24.58</v>
      </c>
      <c r="G18">
        <v>90</v>
      </c>
      <c r="H18">
        <v>3.6</v>
      </c>
      <c r="I18">
        <f>2*(3.6+7.9)</f>
        <v>23</v>
      </c>
      <c r="L18">
        <f>Constants!$B$2</f>
        <v>2.8</v>
      </c>
      <c r="M18">
        <f t="shared" si="1"/>
        <v>90</v>
      </c>
      <c r="N18">
        <f>P18*Constants!$E$2</f>
        <v>6.12</v>
      </c>
      <c r="P18">
        <f t="shared" si="2"/>
        <v>3.6</v>
      </c>
      <c r="Q18">
        <f>P18*Constants!$B$3</f>
        <v>15.119999999999997</v>
      </c>
      <c r="R18">
        <f t="shared" si="3"/>
        <v>8.9999999999999964</v>
      </c>
      <c r="S18">
        <f t="shared" si="4"/>
        <v>19.399999999999999</v>
      </c>
      <c r="T18">
        <f>S18*Constants!$B$2</f>
        <v>54.319999999999993</v>
      </c>
      <c r="V18">
        <f t="shared" si="5"/>
        <v>0</v>
      </c>
      <c r="W18">
        <f t="shared" si="6"/>
        <v>0</v>
      </c>
      <c r="AA18" s="8"/>
      <c r="AJ18" s="4"/>
    </row>
    <row r="19" spans="1:36" x14ac:dyDescent="0.25">
      <c r="A19">
        <v>18</v>
      </c>
      <c r="B19">
        <v>7</v>
      </c>
      <c r="C19" t="s">
        <v>57</v>
      </c>
      <c r="D19" s="16" t="s">
        <v>204</v>
      </c>
      <c r="E19" s="16" t="s">
        <v>203</v>
      </c>
      <c r="F19">
        <v>2.4</v>
      </c>
      <c r="G19" t="s">
        <v>44</v>
      </c>
      <c r="H19">
        <v>0</v>
      </c>
      <c r="I19">
        <v>6.55</v>
      </c>
      <c r="L19">
        <f>Constants!$B$2</f>
        <v>2.8</v>
      </c>
      <c r="M19" t="str">
        <f t="shared" si="1"/>
        <v>N/A</v>
      </c>
      <c r="N19">
        <f>P19*Constants!$E$2</f>
        <v>0</v>
      </c>
      <c r="P19">
        <f t="shared" si="2"/>
        <v>0</v>
      </c>
      <c r="Q19">
        <f>P19*Constants!$B$3</f>
        <v>0</v>
      </c>
      <c r="R19">
        <f t="shared" si="3"/>
        <v>0</v>
      </c>
      <c r="S19">
        <f t="shared" si="4"/>
        <v>6.55</v>
      </c>
      <c r="T19">
        <f>S19*Constants!$B$2</f>
        <v>18.34</v>
      </c>
      <c r="V19">
        <f t="shared" si="5"/>
        <v>0</v>
      </c>
      <c r="W19">
        <f t="shared" si="6"/>
        <v>0</v>
      </c>
      <c r="AA19" s="8"/>
      <c r="AJ19" s="4"/>
    </row>
    <row r="20" spans="1:36" x14ac:dyDescent="0.25">
      <c r="A20">
        <v>19</v>
      </c>
      <c r="B20">
        <v>7</v>
      </c>
      <c r="C20" t="s">
        <v>49</v>
      </c>
      <c r="D20" s="16" t="s">
        <v>205</v>
      </c>
      <c r="E20" s="16"/>
      <c r="F20">
        <v>24.76</v>
      </c>
      <c r="G20">
        <v>90</v>
      </c>
      <c r="H20">
        <f>3.6+3.3</f>
        <v>6.9</v>
      </c>
      <c r="I20">
        <f>2*(3.6+7.9)</f>
        <v>23</v>
      </c>
      <c r="L20">
        <f>Constants!$B$2</f>
        <v>2.8</v>
      </c>
      <c r="M20">
        <f t="shared" si="1"/>
        <v>90</v>
      </c>
      <c r="N20">
        <f>P20*Constants!$E$2</f>
        <v>11.73</v>
      </c>
      <c r="P20">
        <f t="shared" si="2"/>
        <v>6.9</v>
      </c>
      <c r="Q20">
        <f>P20*Constants!$B$3</f>
        <v>28.979999999999997</v>
      </c>
      <c r="R20">
        <f t="shared" si="3"/>
        <v>17.249999999999996</v>
      </c>
      <c r="S20">
        <f t="shared" si="4"/>
        <v>16.100000000000001</v>
      </c>
      <c r="T20">
        <f>S20*Constants!$B$2</f>
        <v>45.08</v>
      </c>
      <c r="V20">
        <f t="shared" si="5"/>
        <v>0</v>
      </c>
      <c r="W20">
        <f t="shared" si="6"/>
        <v>0</v>
      </c>
      <c r="AA20" s="8"/>
      <c r="AJ20" s="4"/>
    </row>
    <row r="21" spans="1:36" x14ac:dyDescent="0.25">
      <c r="A21">
        <v>20</v>
      </c>
      <c r="B21">
        <v>7</v>
      </c>
      <c r="C21" t="s">
        <v>57</v>
      </c>
      <c r="D21" s="16" t="s">
        <v>206</v>
      </c>
      <c r="E21" s="16" t="s">
        <v>205</v>
      </c>
      <c r="F21">
        <v>2.4</v>
      </c>
      <c r="G21" t="s">
        <v>44</v>
      </c>
      <c r="H21">
        <v>0</v>
      </c>
      <c r="I21">
        <v>6.55</v>
      </c>
      <c r="L21">
        <f>Constants!$B$2</f>
        <v>2.8</v>
      </c>
      <c r="M21" t="str">
        <f t="shared" si="1"/>
        <v>N/A</v>
      </c>
      <c r="N21">
        <f>P21*Constants!$E$2</f>
        <v>0</v>
      </c>
      <c r="P21">
        <f t="shared" si="2"/>
        <v>0</v>
      </c>
      <c r="Q21">
        <f>P21*Constants!$B$3</f>
        <v>0</v>
      </c>
      <c r="R21">
        <f t="shared" si="3"/>
        <v>0</v>
      </c>
      <c r="S21">
        <f t="shared" si="4"/>
        <v>6.55</v>
      </c>
      <c r="T21">
        <f>S21*Constants!$B$2</f>
        <v>18.34</v>
      </c>
      <c r="V21">
        <f t="shared" si="5"/>
        <v>0</v>
      </c>
      <c r="W21">
        <f t="shared" si="6"/>
        <v>0</v>
      </c>
      <c r="AA21" s="8"/>
      <c r="AJ21" s="4"/>
    </row>
    <row r="22" spans="1:36" x14ac:dyDescent="0.25">
      <c r="A22">
        <v>21</v>
      </c>
      <c r="B22">
        <v>7</v>
      </c>
      <c r="C22" t="s">
        <v>64</v>
      </c>
      <c r="D22" s="16" t="s">
        <v>207</v>
      </c>
      <c r="F22">
        <v>3.72</v>
      </c>
      <c r="G22">
        <v>90</v>
      </c>
      <c r="H22">
        <v>1.3</v>
      </c>
      <c r="I22">
        <f>2*(2.8+1.3)</f>
        <v>8.1999999999999993</v>
      </c>
      <c r="L22">
        <f>Constants!$B$2</f>
        <v>2.8</v>
      </c>
      <c r="M22">
        <f t="shared" si="1"/>
        <v>90</v>
      </c>
      <c r="N22">
        <f>P22*Constants!$E$2</f>
        <v>2.21</v>
      </c>
      <c r="P22">
        <f t="shared" si="2"/>
        <v>1.3</v>
      </c>
      <c r="Q22">
        <f>P22*Constants!$B$3</f>
        <v>5.4599999999999991</v>
      </c>
      <c r="R22">
        <f t="shared" si="3"/>
        <v>3.2499999999999991</v>
      </c>
      <c r="S22">
        <f t="shared" si="4"/>
        <v>6.8999999999999995</v>
      </c>
      <c r="T22">
        <f>S22*Constants!$B$2</f>
        <v>19.319999999999997</v>
      </c>
      <c r="V22">
        <f t="shared" si="5"/>
        <v>0</v>
      </c>
      <c r="W22">
        <f t="shared" si="6"/>
        <v>0</v>
      </c>
      <c r="AA22" s="8"/>
      <c r="AJ22" s="4"/>
    </row>
    <row r="23" spans="1:36" x14ac:dyDescent="0.25">
      <c r="A23">
        <v>22</v>
      </c>
      <c r="B23">
        <v>7</v>
      </c>
      <c r="C23" t="s">
        <v>64</v>
      </c>
      <c r="D23" s="16" t="s">
        <v>208</v>
      </c>
      <c r="F23">
        <v>3.72</v>
      </c>
      <c r="G23">
        <v>90</v>
      </c>
      <c r="H23">
        <v>1.3</v>
      </c>
      <c r="I23">
        <f>2*(2.8+1.3)</f>
        <v>8.1999999999999993</v>
      </c>
      <c r="L23">
        <f>Constants!$B$2</f>
        <v>2.8</v>
      </c>
      <c r="M23">
        <f t="shared" si="1"/>
        <v>90</v>
      </c>
      <c r="N23">
        <f>P23*Constants!$E$2</f>
        <v>2.21</v>
      </c>
      <c r="P23">
        <f t="shared" si="2"/>
        <v>1.3</v>
      </c>
      <c r="Q23">
        <f>P23*Constants!$B$3</f>
        <v>5.4599999999999991</v>
      </c>
      <c r="R23">
        <f t="shared" si="3"/>
        <v>3.2499999999999991</v>
      </c>
      <c r="S23">
        <f t="shared" si="4"/>
        <v>6.8999999999999995</v>
      </c>
      <c r="T23">
        <f>S23*Constants!$B$2</f>
        <v>19.319999999999997</v>
      </c>
      <c r="V23">
        <f t="shared" si="5"/>
        <v>0</v>
      </c>
      <c r="W23">
        <f t="shared" si="6"/>
        <v>0</v>
      </c>
      <c r="AA23" s="8"/>
      <c r="AJ23" s="4"/>
    </row>
    <row r="24" spans="1:36" x14ac:dyDescent="0.25">
      <c r="A24">
        <v>23</v>
      </c>
      <c r="B24">
        <v>7</v>
      </c>
      <c r="C24" t="s">
        <v>49</v>
      </c>
      <c r="D24" s="16" t="s">
        <v>209</v>
      </c>
      <c r="F24">
        <v>24.75</v>
      </c>
      <c r="G24">
        <v>270</v>
      </c>
      <c r="H24">
        <f>3.6+3.3</f>
        <v>6.9</v>
      </c>
      <c r="I24">
        <f>2*(3.6+7.9)</f>
        <v>23</v>
      </c>
      <c r="L24">
        <f>Constants!$B$2</f>
        <v>2.8</v>
      </c>
      <c r="M24">
        <f t="shared" si="1"/>
        <v>270</v>
      </c>
      <c r="N24">
        <f>P24*Constants!$E$2</f>
        <v>11.73</v>
      </c>
      <c r="P24">
        <f t="shared" si="2"/>
        <v>6.9</v>
      </c>
      <c r="Q24">
        <f>P24*Constants!$B$3</f>
        <v>28.979999999999997</v>
      </c>
      <c r="R24">
        <f t="shared" si="3"/>
        <v>17.249999999999996</v>
      </c>
      <c r="S24">
        <f t="shared" si="4"/>
        <v>16.100000000000001</v>
      </c>
      <c r="T24">
        <f>S24*Constants!$B$2</f>
        <v>45.08</v>
      </c>
      <c r="V24">
        <f t="shared" si="5"/>
        <v>0</v>
      </c>
      <c r="W24">
        <f t="shared" si="6"/>
        <v>0</v>
      </c>
      <c r="AA24" s="8"/>
      <c r="AJ24" s="4"/>
    </row>
    <row r="25" spans="1:36" x14ac:dyDescent="0.25">
      <c r="A25">
        <v>24</v>
      </c>
      <c r="B25">
        <v>7</v>
      </c>
      <c r="C25" t="s">
        <v>57</v>
      </c>
      <c r="D25" s="16" t="s">
        <v>210</v>
      </c>
      <c r="E25" s="16" t="s">
        <v>209</v>
      </c>
      <c r="F25">
        <v>2.4</v>
      </c>
      <c r="G25" t="s">
        <v>44</v>
      </c>
      <c r="H25">
        <v>0</v>
      </c>
      <c r="I25">
        <v>6.55</v>
      </c>
      <c r="L25">
        <f>Constants!$B$2</f>
        <v>2.8</v>
      </c>
      <c r="M25" t="str">
        <f t="shared" si="1"/>
        <v>N/A</v>
      </c>
      <c r="N25">
        <f>P25*Constants!$E$2</f>
        <v>0</v>
      </c>
      <c r="P25">
        <f t="shared" si="2"/>
        <v>0</v>
      </c>
      <c r="Q25">
        <f>P25*Constants!$B$3</f>
        <v>0</v>
      </c>
      <c r="R25">
        <f t="shared" si="3"/>
        <v>0</v>
      </c>
      <c r="S25">
        <f t="shared" si="4"/>
        <v>6.55</v>
      </c>
      <c r="T25">
        <f>S25*Constants!$B$2</f>
        <v>18.34</v>
      </c>
      <c r="V25">
        <f t="shared" si="5"/>
        <v>0</v>
      </c>
      <c r="W25">
        <f t="shared" si="6"/>
        <v>0</v>
      </c>
      <c r="AA25" s="8"/>
      <c r="AJ25" s="4"/>
    </row>
    <row r="26" spans="1:36" x14ac:dyDescent="0.25">
      <c r="A26">
        <v>25</v>
      </c>
      <c r="B26">
        <v>7</v>
      </c>
      <c r="C26" t="s">
        <v>49</v>
      </c>
      <c r="D26" s="16" t="s">
        <v>211</v>
      </c>
      <c r="F26">
        <v>24.58</v>
      </c>
      <c r="G26">
        <v>270</v>
      </c>
      <c r="H26">
        <v>3.6</v>
      </c>
      <c r="I26">
        <v>23</v>
      </c>
      <c r="L26">
        <f>Constants!$B$2</f>
        <v>2.8</v>
      </c>
      <c r="M26">
        <f t="shared" si="1"/>
        <v>270</v>
      </c>
      <c r="N26">
        <f>P26*Constants!$E$2</f>
        <v>6.12</v>
      </c>
      <c r="P26">
        <f t="shared" si="2"/>
        <v>3.6</v>
      </c>
      <c r="Q26">
        <f>P26*Constants!$B$3</f>
        <v>15.119999999999997</v>
      </c>
      <c r="R26">
        <f t="shared" si="3"/>
        <v>8.9999999999999964</v>
      </c>
      <c r="S26">
        <f t="shared" si="4"/>
        <v>19.399999999999999</v>
      </c>
      <c r="T26">
        <f>S26*Constants!$B$2</f>
        <v>54.319999999999993</v>
      </c>
      <c r="V26">
        <f t="shared" si="5"/>
        <v>0</v>
      </c>
      <c r="W26">
        <f t="shared" si="6"/>
        <v>0</v>
      </c>
      <c r="AA26" s="8"/>
      <c r="AJ26" s="4"/>
    </row>
    <row r="27" spans="1:36" x14ac:dyDescent="0.25">
      <c r="A27">
        <v>26</v>
      </c>
      <c r="B27">
        <v>7</v>
      </c>
      <c r="C27" t="s">
        <v>57</v>
      </c>
      <c r="D27" s="16" t="s">
        <v>212</v>
      </c>
      <c r="E27" s="16" t="s">
        <v>211</v>
      </c>
      <c r="F27">
        <v>2.4</v>
      </c>
      <c r="G27" t="s">
        <v>44</v>
      </c>
      <c r="H27">
        <v>0</v>
      </c>
      <c r="I27">
        <v>6.55</v>
      </c>
      <c r="L27">
        <f>Constants!$B$2</f>
        <v>2.8</v>
      </c>
      <c r="M27" t="str">
        <f t="shared" si="1"/>
        <v>N/A</v>
      </c>
      <c r="N27">
        <f>P27*Constants!$E$2</f>
        <v>0</v>
      </c>
      <c r="P27">
        <f t="shared" si="2"/>
        <v>0</v>
      </c>
      <c r="Q27">
        <f>P27*Constants!$B$3</f>
        <v>0</v>
      </c>
      <c r="R27">
        <f t="shared" si="3"/>
        <v>0</v>
      </c>
      <c r="S27">
        <f t="shared" si="4"/>
        <v>6.55</v>
      </c>
      <c r="T27">
        <f>S27*Constants!$B$2</f>
        <v>18.34</v>
      </c>
      <c r="V27">
        <f t="shared" si="5"/>
        <v>0</v>
      </c>
      <c r="W27">
        <f t="shared" si="6"/>
        <v>0</v>
      </c>
      <c r="AA27" s="8"/>
      <c r="AJ27" s="4"/>
    </row>
    <row r="28" spans="1:36" x14ac:dyDescent="0.25">
      <c r="A28">
        <v>27</v>
      </c>
      <c r="B28">
        <v>7</v>
      </c>
      <c r="C28" t="s">
        <v>49</v>
      </c>
      <c r="D28" s="16" t="s">
        <v>213</v>
      </c>
      <c r="F28">
        <v>24.57</v>
      </c>
      <c r="G28">
        <v>270</v>
      </c>
      <c r="H28">
        <v>3.6</v>
      </c>
      <c r="I28">
        <v>23</v>
      </c>
      <c r="L28">
        <f>Constants!$B$2</f>
        <v>2.8</v>
      </c>
      <c r="M28">
        <f t="shared" si="1"/>
        <v>270</v>
      </c>
      <c r="N28">
        <f>P28*Constants!$E$2</f>
        <v>6.12</v>
      </c>
      <c r="P28">
        <f t="shared" si="2"/>
        <v>3.6</v>
      </c>
      <c r="Q28">
        <f>P28*Constants!$B$3</f>
        <v>15.119999999999997</v>
      </c>
      <c r="R28">
        <f t="shared" si="3"/>
        <v>8.9999999999999964</v>
      </c>
      <c r="S28">
        <f t="shared" si="4"/>
        <v>19.399999999999999</v>
      </c>
      <c r="T28">
        <f>S28*Constants!$B$2</f>
        <v>54.319999999999993</v>
      </c>
      <c r="V28">
        <f t="shared" si="5"/>
        <v>0</v>
      </c>
      <c r="W28">
        <f t="shared" si="6"/>
        <v>0</v>
      </c>
      <c r="AA28" s="8"/>
      <c r="AJ28" s="4"/>
    </row>
    <row r="29" spans="1:36" x14ac:dyDescent="0.25">
      <c r="A29">
        <v>28</v>
      </c>
      <c r="B29">
        <v>7</v>
      </c>
      <c r="C29" t="s">
        <v>57</v>
      </c>
      <c r="D29" s="16" t="s">
        <v>214</v>
      </c>
      <c r="E29" s="16" t="s">
        <v>213</v>
      </c>
      <c r="F29">
        <v>2.4</v>
      </c>
      <c r="G29" t="s">
        <v>44</v>
      </c>
      <c r="H29">
        <v>0</v>
      </c>
      <c r="I29">
        <v>6.55</v>
      </c>
      <c r="L29">
        <f>Constants!$B$2</f>
        <v>2.8</v>
      </c>
      <c r="M29" t="str">
        <f t="shared" si="1"/>
        <v>N/A</v>
      </c>
      <c r="N29">
        <f>P29*Constants!$E$2</f>
        <v>0</v>
      </c>
      <c r="P29">
        <f t="shared" si="2"/>
        <v>0</v>
      </c>
      <c r="Q29">
        <f>P29*Constants!$B$3</f>
        <v>0</v>
      </c>
      <c r="R29">
        <f t="shared" si="3"/>
        <v>0</v>
      </c>
      <c r="S29">
        <f t="shared" si="4"/>
        <v>6.55</v>
      </c>
      <c r="T29">
        <f>S29*Constants!$B$2</f>
        <v>18.34</v>
      </c>
      <c r="V29">
        <f t="shared" si="5"/>
        <v>0</v>
      </c>
      <c r="W29">
        <f t="shared" si="6"/>
        <v>0</v>
      </c>
      <c r="AA29" s="8"/>
      <c r="AJ29" s="4"/>
    </row>
    <row r="30" spans="1:36" x14ac:dyDescent="0.25">
      <c r="A30">
        <v>29</v>
      </c>
      <c r="B30">
        <v>7</v>
      </c>
      <c r="C30" t="s">
        <v>59</v>
      </c>
      <c r="D30" s="16" t="s">
        <v>215</v>
      </c>
      <c r="F30">
        <v>12.56</v>
      </c>
      <c r="G30">
        <v>270</v>
      </c>
      <c r="H30">
        <v>2.9</v>
      </c>
      <c r="I30">
        <f>2*(8+4.8)</f>
        <v>25.6</v>
      </c>
      <c r="L30">
        <f>Constants!$B$2</f>
        <v>2.8</v>
      </c>
      <c r="M30">
        <f t="shared" si="1"/>
        <v>270</v>
      </c>
      <c r="N30">
        <f>P30*Constants!$E$2</f>
        <v>4.93</v>
      </c>
      <c r="P30">
        <f t="shared" si="2"/>
        <v>2.9</v>
      </c>
      <c r="Q30">
        <f>P30*Constants!$B$3</f>
        <v>12.179999999999998</v>
      </c>
      <c r="R30">
        <f t="shared" si="3"/>
        <v>7.2499999999999982</v>
      </c>
      <c r="S30">
        <f t="shared" si="4"/>
        <v>22.700000000000003</v>
      </c>
      <c r="T30">
        <f>S30*Constants!$B$2</f>
        <v>63.56</v>
      </c>
      <c r="V30">
        <f t="shared" si="5"/>
        <v>0</v>
      </c>
      <c r="W30">
        <f t="shared" si="6"/>
        <v>0</v>
      </c>
      <c r="AA30" s="8"/>
      <c r="AJ30" s="4"/>
    </row>
    <row r="31" spans="1:36" x14ac:dyDescent="0.25">
      <c r="A31">
        <v>30</v>
      </c>
      <c r="B31">
        <v>7</v>
      </c>
      <c r="C31" t="s">
        <v>57</v>
      </c>
      <c r="D31" s="16" t="s">
        <v>232</v>
      </c>
      <c r="E31" s="16" t="s">
        <v>215</v>
      </c>
      <c r="F31">
        <v>2.4</v>
      </c>
      <c r="G31" t="s">
        <v>44</v>
      </c>
      <c r="H31">
        <v>0</v>
      </c>
      <c r="I31">
        <v>6.55</v>
      </c>
      <c r="L31">
        <f>Constants!$B$2</f>
        <v>2.8</v>
      </c>
      <c r="M31" t="str">
        <f t="shared" si="1"/>
        <v>N/A</v>
      </c>
      <c r="N31">
        <f>P31*Constants!$E$2</f>
        <v>0</v>
      </c>
      <c r="P31">
        <f t="shared" si="2"/>
        <v>0</v>
      </c>
      <c r="Q31">
        <f>P31*Constants!$B$3</f>
        <v>0</v>
      </c>
      <c r="R31">
        <f t="shared" si="3"/>
        <v>0</v>
      </c>
      <c r="S31">
        <f t="shared" si="4"/>
        <v>6.55</v>
      </c>
      <c r="T31">
        <f>S31*Constants!$B$2</f>
        <v>18.34</v>
      </c>
      <c r="V31">
        <f t="shared" si="5"/>
        <v>0</v>
      </c>
      <c r="W31">
        <f t="shared" si="6"/>
        <v>0</v>
      </c>
      <c r="AA31" s="8"/>
      <c r="AJ31" s="4"/>
    </row>
    <row r="32" spans="1:36" x14ac:dyDescent="0.25">
      <c r="A32">
        <v>31</v>
      </c>
      <c r="B32">
        <v>7</v>
      </c>
      <c r="C32" t="s">
        <v>67</v>
      </c>
      <c r="D32" s="16" t="s">
        <v>216</v>
      </c>
      <c r="F32">
        <v>11.46</v>
      </c>
      <c r="G32">
        <v>270</v>
      </c>
      <c r="H32">
        <f>1.2*2.5</f>
        <v>3</v>
      </c>
      <c r="I32">
        <f>1.2*(2.5+3.5)*2</f>
        <v>14.399999999999999</v>
      </c>
      <c r="L32">
        <f>Constants!$B$2</f>
        <v>2.8</v>
      </c>
      <c r="M32">
        <f t="shared" si="1"/>
        <v>270</v>
      </c>
      <c r="N32">
        <f>P32*Constants!$E$2</f>
        <v>5.0999999999999996</v>
      </c>
      <c r="P32">
        <f t="shared" si="2"/>
        <v>3</v>
      </c>
      <c r="Q32">
        <f>P32*Constants!$B$3</f>
        <v>12.599999999999998</v>
      </c>
      <c r="R32">
        <f t="shared" si="3"/>
        <v>7.4999999999999982</v>
      </c>
      <c r="S32">
        <f t="shared" si="4"/>
        <v>11.399999999999999</v>
      </c>
      <c r="T32">
        <f>S32*Constants!$B$2</f>
        <v>31.919999999999995</v>
      </c>
      <c r="V32">
        <f t="shared" si="5"/>
        <v>0</v>
      </c>
      <c r="W32">
        <f t="shared" si="6"/>
        <v>0</v>
      </c>
      <c r="AA32" s="8"/>
      <c r="AJ32" s="4"/>
    </row>
    <row r="33" spans="1:36" x14ac:dyDescent="0.25">
      <c r="A33">
        <v>32</v>
      </c>
      <c r="B33">
        <v>7</v>
      </c>
      <c r="C33" t="s">
        <v>62</v>
      </c>
      <c r="D33" s="16" t="s">
        <v>229</v>
      </c>
      <c r="E33" s="16" t="s">
        <v>216</v>
      </c>
      <c r="F33">
        <v>10.28</v>
      </c>
      <c r="G33" t="s">
        <v>44</v>
      </c>
      <c r="H33">
        <v>0</v>
      </c>
      <c r="I33">
        <f>1.2*(2.5+3)*2</f>
        <v>13.2</v>
      </c>
      <c r="L33">
        <f>Constants!$B$2</f>
        <v>2.8</v>
      </c>
      <c r="M33" t="str">
        <f t="shared" si="1"/>
        <v>N/A</v>
      </c>
      <c r="N33">
        <f>P33*Constants!$E$2</f>
        <v>0</v>
      </c>
      <c r="P33">
        <f t="shared" si="2"/>
        <v>0</v>
      </c>
      <c r="Q33">
        <f>P33*Constants!$B$3</f>
        <v>0</v>
      </c>
      <c r="R33">
        <f t="shared" si="3"/>
        <v>0</v>
      </c>
      <c r="S33">
        <f t="shared" si="4"/>
        <v>13.2</v>
      </c>
      <c r="T33">
        <f>S33*Constants!$B$2</f>
        <v>36.959999999999994</v>
      </c>
      <c r="V33">
        <f t="shared" si="5"/>
        <v>0</v>
      </c>
      <c r="W33">
        <f t="shared" si="6"/>
        <v>0</v>
      </c>
      <c r="AA33" s="8"/>
      <c r="AJ33" s="4"/>
    </row>
    <row r="34" spans="1:36" x14ac:dyDescent="0.25">
      <c r="A34">
        <v>33</v>
      </c>
      <c r="B34">
        <v>7</v>
      </c>
      <c r="C34" t="s">
        <v>66</v>
      </c>
      <c r="D34" s="16" t="s">
        <v>217</v>
      </c>
      <c r="F34">
        <v>7.76</v>
      </c>
      <c r="G34" t="s">
        <v>44</v>
      </c>
      <c r="H34">
        <v>0</v>
      </c>
      <c r="I34">
        <f>2*(3.7+2.4)</f>
        <v>12.2</v>
      </c>
      <c r="L34">
        <f>Constants!$B$2</f>
        <v>2.8</v>
      </c>
      <c r="M34" t="str">
        <f t="shared" si="1"/>
        <v>N/A</v>
      </c>
      <c r="N34">
        <f>P34*Constants!$E$2</f>
        <v>0</v>
      </c>
      <c r="P34">
        <f t="shared" si="2"/>
        <v>0</v>
      </c>
      <c r="Q34">
        <f>P34*Constants!$B$3</f>
        <v>0</v>
      </c>
      <c r="R34">
        <f t="shared" si="3"/>
        <v>0</v>
      </c>
      <c r="S34">
        <f t="shared" si="4"/>
        <v>12.2</v>
      </c>
      <c r="T34">
        <f>S34*Constants!$B$2</f>
        <v>34.159999999999997</v>
      </c>
      <c r="V34">
        <f t="shared" si="5"/>
        <v>0</v>
      </c>
      <c r="W34">
        <f t="shared" si="6"/>
        <v>0</v>
      </c>
      <c r="AA34" s="8"/>
      <c r="AJ34" s="4"/>
    </row>
    <row r="35" spans="1:36" x14ac:dyDescent="0.25">
      <c r="A35">
        <v>34</v>
      </c>
      <c r="B35">
        <v>7</v>
      </c>
      <c r="C35" t="s">
        <v>54</v>
      </c>
      <c r="D35" s="16" t="s">
        <v>218</v>
      </c>
      <c r="F35">
        <v>35.700000000000003</v>
      </c>
      <c r="G35">
        <v>270</v>
      </c>
      <c r="H35">
        <f>1.2*5</f>
        <v>6</v>
      </c>
      <c r="I35">
        <f>1.2*(5+6.5)*2</f>
        <v>27.599999999999998</v>
      </c>
      <c r="L35">
        <f>Constants!$B$2</f>
        <v>2.8</v>
      </c>
      <c r="M35">
        <f t="shared" si="1"/>
        <v>270</v>
      </c>
      <c r="N35">
        <f>P35*Constants!$E$2</f>
        <v>10.199999999999999</v>
      </c>
      <c r="P35">
        <f t="shared" si="2"/>
        <v>6</v>
      </c>
      <c r="Q35">
        <f>P35*Constants!$B$3</f>
        <v>25.199999999999996</v>
      </c>
      <c r="R35">
        <f t="shared" si="3"/>
        <v>14.999999999999996</v>
      </c>
      <c r="S35">
        <f t="shared" si="4"/>
        <v>21.599999999999998</v>
      </c>
      <c r="T35">
        <f>S35*Constants!$B$2</f>
        <v>60.47999999999999</v>
      </c>
      <c r="V35">
        <f t="shared" si="5"/>
        <v>0</v>
      </c>
      <c r="W35">
        <f t="shared" si="6"/>
        <v>0</v>
      </c>
      <c r="AA35" s="8"/>
      <c r="AJ35" s="4"/>
    </row>
    <row r="36" spans="1:36" x14ac:dyDescent="0.25">
      <c r="A36">
        <v>35</v>
      </c>
      <c r="B36">
        <v>7</v>
      </c>
      <c r="C36" t="s">
        <v>57</v>
      </c>
      <c r="D36" s="16" t="s">
        <v>219</v>
      </c>
      <c r="E36" s="16" t="s">
        <v>218</v>
      </c>
      <c r="F36">
        <v>2.4</v>
      </c>
      <c r="G36" t="s">
        <v>44</v>
      </c>
      <c r="H36">
        <v>0</v>
      </c>
      <c r="I36">
        <v>6.55</v>
      </c>
      <c r="L36">
        <f>Constants!$B$2</f>
        <v>2.8</v>
      </c>
      <c r="M36" t="str">
        <f t="shared" si="1"/>
        <v>N/A</v>
      </c>
      <c r="N36">
        <f>P36*Constants!$E$2</f>
        <v>0</v>
      </c>
      <c r="P36">
        <f t="shared" si="2"/>
        <v>0</v>
      </c>
      <c r="Q36">
        <f>P36*Constants!$B$3</f>
        <v>0</v>
      </c>
      <c r="R36">
        <f t="shared" si="3"/>
        <v>0</v>
      </c>
      <c r="S36">
        <f t="shared" si="4"/>
        <v>6.55</v>
      </c>
      <c r="T36">
        <f>S36*Constants!$B$2</f>
        <v>18.34</v>
      </c>
      <c r="V36">
        <f t="shared" si="5"/>
        <v>0</v>
      </c>
      <c r="W36">
        <f t="shared" si="6"/>
        <v>0</v>
      </c>
      <c r="AA36" s="8"/>
      <c r="AJ36" s="4"/>
    </row>
    <row r="37" spans="1:36" x14ac:dyDescent="0.25">
      <c r="A37">
        <v>36</v>
      </c>
      <c r="B37">
        <v>7</v>
      </c>
      <c r="C37" t="s">
        <v>67</v>
      </c>
      <c r="D37" s="16" t="s">
        <v>220</v>
      </c>
      <c r="F37">
        <v>24.58</v>
      </c>
      <c r="G37">
        <v>270</v>
      </c>
      <c r="H37">
        <v>3.6</v>
      </c>
      <c r="I37">
        <v>23</v>
      </c>
      <c r="L37">
        <f>Constants!$B$2</f>
        <v>2.8</v>
      </c>
      <c r="M37">
        <f t="shared" si="1"/>
        <v>270</v>
      </c>
      <c r="N37">
        <f>P37*Constants!$E$2</f>
        <v>6.12</v>
      </c>
      <c r="P37">
        <f t="shared" si="2"/>
        <v>3.6</v>
      </c>
      <c r="Q37">
        <f>P37*Constants!$B$3</f>
        <v>15.119999999999997</v>
      </c>
      <c r="R37">
        <f t="shared" si="3"/>
        <v>8.9999999999999964</v>
      </c>
      <c r="S37">
        <f t="shared" si="4"/>
        <v>19.399999999999999</v>
      </c>
      <c r="T37">
        <f>S37*Constants!$B$2</f>
        <v>54.319999999999993</v>
      </c>
      <c r="V37">
        <f t="shared" si="5"/>
        <v>0</v>
      </c>
      <c r="W37">
        <f t="shared" si="6"/>
        <v>0</v>
      </c>
      <c r="AA37" s="8"/>
      <c r="AJ37" s="4"/>
    </row>
    <row r="38" spans="1:36" x14ac:dyDescent="0.25">
      <c r="A38">
        <v>37</v>
      </c>
      <c r="B38">
        <v>7</v>
      </c>
      <c r="C38" t="s">
        <v>57</v>
      </c>
      <c r="D38" s="16" t="s">
        <v>221</v>
      </c>
      <c r="E38" s="16" t="s">
        <v>220</v>
      </c>
      <c r="F38">
        <v>2.4</v>
      </c>
      <c r="G38" t="s">
        <v>44</v>
      </c>
      <c r="H38">
        <v>0</v>
      </c>
      <c r="I38">
        <v>6.55</v>
      </c>
      <c r="L38">
        <f>Constants!$B$2</f>
        <v>2.8</v>
      </c>
      <c r="M38" t="str">
        <f t="shared" si="1"/>
        <v>N/A</v>
      </c>
      <c r="N38">
        <f>P38*Constants!$E$2</f>
        <v>0</v>
      </c>
      <c r="P38">
        <f t="shared" si="2"/>
        <v>0</v>
      </c>
      <c r="Q38">
        <f>P38*Constants!$B$3</f>
        <v>0</v>
      </c>
      <c r="R38">
        <f t="shared" si="3"/>
        <v>0</v>
      </c>
      <c r="S38">
        <f t="shared" si="4"/>
        <v>6.55</v>
      </c>
      <c r="T38">
        <f>S38*Constants!$B$2</f>
        <v>18.34</v>
      </c>
      <c r="V38">
        <f t="shared" si="5"/>
        <v>0</v>
      </c>
      <c r="W38">
        <f t="shared" si="6"/>
        <v>0</v>
      </c>
      <c r="AA38" s="8"/>
      <c r="AJ38" s="4"/>
    </row>
    <row r="39" spans="1:36" x14ac:dyDescent="0.25">
      <c r="A39">
        <v>38</v>
      </c>
      <c r="B39">
        <v>7</v>
      </c>
      <c r="C39" t="s">
        <v>49</v>
      </c>
      <c r="D39" s="16" t="s">
        <v>222</v>
      </c>
      <c r="F39">
        <v>24.58</v>
      </c>
      <c r="G39">
        <v>270</v>
      </c>
      <c r="H39">
        <v>3.6</v>
      </c>
      <c r="I39">
        <v>23</v>
      </c>
      <c r="L39">
        <f>Constants!$B$2</f>
        <v>2.8</v>
      </c>
      <c r="M39">
        <f t="shared" si="1"/>
        <v>270</v>
      </c>
      <c r="N39">
        <f>P39*Constants!$E$2</f>
        <v>6.12</v>
      </c>
      <c r="P39">
        <f t="shared" si="2"/>
        <v>3.6</v>
      </c>
      <c r="Q39">
        <f>P39*Constants!$B$3</f>
        <v>15.119999999999997</v>
      </c>
      <c r="R39">
        <f t="shared" si="3"/>
        <v>8.9999999999999964</v>
      </c>
      <c r="S39">
        <f t="shared" si="4"/>
        <v>19.399999999999999</v>
      </c>
      <c r="T39">
        <f>S39*Constants!$B$2</f>
        <v>54.319999999999993</v>
      </c>
      <c r="V39">
        <f t="shared" si="5"/>
        <v>0</v>
      </c>
      <c r="W39">
        <f t="shared" si="6"/>
        <v>0</v>
      </c>
      <c r="AA39" s="8"/>
      <c r="AJ39" s="4"/>
    </row>
    <row r="40" spans="1:36" x14ac:dyDescent="0.25">
      <c r="A40">
        <v>39</v>
      </c>
      <c r="B40">
        <v>7</v>
      </c>
      <c r="C40" t="s">
        <v>57</v>
      </c>
      <c r="D40" s="16" t="s">
        <v>223</v>
      </c>
      <c r="E40" s="16" t="s">
        <v>222</v>
      </c>
      <c r="F40">
        <v>2.4</v>
      </c>
      <c r="G40" t="s">
        <v>44</v>
      </c>
      <c r="H40">
        <v>0</v>
      </c>
      <c r="I40">
        <v>6.55</v>
      </c>
      <c r="L40">
        <f>Constants!$B$2</f>
        <v>2.8</v>
      </c>
      <c r="M40" t="str">
        <f t="shared" si="1"/>
        <v>N/A</v>
      </c>
      <c r="N40">
        <f>P40*Constants!$E$2</f>
        <v>0</v>
      </c>
      <c r="P40">
        <f t="shared" si="2"/>
        <v>0</v>
      </c>
      <c r="Q40">
        <f>P40*Constants!$B$3</f>
        <v>0</v>
      </c>
      <c r="R40">
        <f t="shared" si="3"/>
        <v>0</v>
      </c>
      <c r="S40">
        <f t="shared" si="4"/>
        <v>6.55</v>
      </c>
      <c r="T40">
        <f>S40*Constants!$B$2</f>
        <v>18.34</v>
      </c>
      <c r="V40">
        <f t="shared" si="5"/>
        <v>0</v>
      </c>
      <c r="W40">
        <f t="shared" si="6"/>
        <v>0</v>
      </c>
      <c r="AA40" s="8"/>
      <c r="AJ40" s="4"/>
    </row>
    <row r="41" spans="1:36" x14ac:dyDescent="0.25">
      <c r="A41">
        <v>40</v>
      </c>
      <c r="B41">
        <v>7</v>
      </c>
      <c r="C41" t="s">
        <v>49</v>
      </c>
      <c r="D41" s="16" t="s">
        <v>224</v>
      </c>
      <c r="F41">
        <v>24.76</v>
      </c>
      <c r="G41">
        <v>270</v>
      </c>
      <c r="H41">
        <v>3.6</v>
      </c>
      <c r="I41">
        <v>23</v>
      </c>
      <c r="L41">
        <f>Constants!$B$2</f>
        <v>2.8</v>
      </c>
      <c r="M41">
        <f t="shared" si="1"/>
        <v>270</v>
      </c>
      <c r="N41">
        <f>P41*Constants!$E$2</f>
        <v>6.12</v>
      </c>
      <c r="P41">
        <f t="shared" si="2"/>
        <v>3.6</v>
      </c>
      <c r="Q41">
        <f>P41*Constants!$B$3</f>
        <v>15.119999999999997</v>
      </c>
      <c r="R41">
        <f t="shared" si="3"/>
        <v>8.9999999999999964</v>
      </c>
      <c r="S41">
        <f t="shared" si="4"/>
        <v>19.399999999999999</v>
      </c>
      <c r="T41">
        <f>S41*Constants!$B$2</f>
        <v>54.319999999999993</v>
      </c>
      <c r="V41">
        <f t="shared" si="5"/>
        <v>0</v>
      </c>
      <c r="W41">
        <f t="shared" si="6"/>
        <v>0</v>
      </c>
      <c r="AA41" s="8"/>
      <c r="AJ41" s="4"/>
    </row>
    <row r="42" spans="1:36" x14ac:dyDescent="0.25">
      <c r="A42">
        <v>41</v>
      </c>
      <c r="B42">
        <v>7</v>
      </c>
      <c r="C42" t="s">
        <v>57</v>
      </c>
      <c r="D42" s="16" t="s">
        <v>225</v>
      </c>
      <c r="E42" s="16" t="s">
        <v>224</v>
      </c>
      <c r="F42">
        <v>2.4</v>
      </c>
      <c r="G42" t="s">
        <v>44</v>
      </c>
      <c r="H42">
        <v>0</v>
      </c>
      <c r="I42">
        <v>6.55</v>
      </c>
      <c r="L42">
        <f>Constants!$B$2</f>
        <v>2.8</v>
      </c>
      <c r="M42" t="str">
        <f t="shared" si="1"/>
        <v>N/A</v>
      </c>
      <c r="N42">
        <f>P42*Constants!$E$2</f>
        <v>0</v>
      </c>
      <c r="P42">
        <f t="shared" si="2"/>
        <v>0</v>
      </c>
      <c r="Q42">
        <f>P42*Constants!$B$3</f>
        <v>0</v>
      </c>
      <c r="R42">
        <f t="shared" si="3"/>
        <v>0</v>
      </c>
      <c r="S42">
        <f t="shared" si="4"/>
        <v>6.55</v>
      </c>
      <c r="T42">
        <f>S42*Constants!$B$2</f>
        <v>18.34</v>
      </c>
      <c r="V42">
        <f t="shared" si="5"/>
        <v>0</v>
      </c>
      <c r="W42">
        <f t="shared" si="6"/>
        <v>0</v>
      </c>
      <c r="AA42" s="8"/>
      <c r="AJ42" s="4"/>
    </row>
    <row r="43" spans="1:36" x14ac:dyDescent="0.25">
      <c r="A43">
        <v>42</v>
      </c>
      <c r="B43">
        <v>7</v>
      </c>
      <c r="C43" t="s">
        <v>45</v>
      </c>
      <c r="D43" s="16" t="s">
        <v>226</v>
      </c>
      <c r="F43">
        <v>13.25</v>
      </c>
      <c r="G43" t="s">
        <v>44</v>
      </c>
      <c r="H43">
        <v>0</v>
      </c>
      <c r="I43">
        <f>2*(4.8+3.2)</f>
        <v>16</v>
      </c>
      <c r="L43">
        <f>Constants!$B$2</f>
        <v>2.8</v>
      </c>
      <c r="M43" t="str">
        <f t="shared" si="1"/>
        <v>N/A</v>
      </c>
      <c r="N43">
        <f>P43*Constants!$E$2</f>
        <v>0</v>
      </c>
      <c r="P43">
        <f t="shared" si="2"/>
        <v>0</v>
      </c>
      <c r="Q43">
        <f>P43*Constants!$B$3</f>
        <v>0</v>
      </c>
      <c r="R43">
        <f t="shared" si="3"/>
        <v>0</v>
      </c>
      <c r="S43">
        <f t="shared" si="4"/>
        <v>16</v>
      </c>
      <c r="T43">
        <f>S43*Constants!$B$2</f>
        <v>44.8</v>
      </c>
      <c r="V43">
        <f t="shared" si="5"/>
        <v>0</v>
      </c>
      <c r="W43">
        <f t="shared" si="6"/>
        <v>0</v>
      </c>
      <c r="AA43" s="8"/>
      <c r="AJ43" s="4"/>
    </row>
    <row r="44" spans="1:36" x14ac:dyDescent="0.25">
      <c r="A44">
        <v>43</v>
      </c>
      <c r="B44">
        <v>7</v>
      </c>
      <c r="C44" t="s">
        <v>62</v>
      </c>
      <c r="D44" s="16" t="s">
        <v>227</v>
      </c>
      <c r="F44">
        <v>20.76</v>
      </c>
      <c r="G44">
        <v>90</v>
      </c>
      <c r="H44">
        <v>3.2</v>
      </c>
      <c r="I44">
        <f>2*(5.3+3.2)</f>
        <v>17</v>
      </c>
      <c r="L44">
        <f>Constants!$B$2</f>
        <v>2.8</v>
      </c>
      <c r="M44">
        <f t="shared" si="1"/>
        <v>90</v>
      </c>
      <c r="N44">
        <f>P44*Constants!$E$2</f>
        <v>5.44</v>
      </c>
      <c r="P44">
        <f t="shared" si="2"/>
        <v>3.2</v>
      </c>
      <c r="Q44">
        <f>P44*Constants!$B$3</f>
        <v>13.439999999999998</v>
      </c>
      <c r="R44">
        <f t="shared" si="3"/>
        <v>7.9999999999999973</v>
      </c>
      <c r="S44">
        <f t="shared" si="4"/>
        <v>13.8</v>
      </c>
      <c r="T44">
        <f>S44*Constants!$B$2</f>
        <v>38.64</v>
      </c>
      <c r="V44">
        <f t="shared" si="5"/>
        <v>0</v>
      </c>
      <c r="W44">
        <f t="shared" si="6"/>
        <v>0</v>
      </c>
      <c r="AA44" s="8"/>
      <c r="AJ44" s="4"/>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5"/>
    </row>
    <row r="452" spans="4:4" x14ac:dyDescent="0.25">
      <c r="D452" s="15"/>
    </row>
    <row r="453" spans="4:4" x14ac:dyDescent="0.25">
      <c r="D453" s="15"/>
    </row>
    <row r="454" spans="4:4" x14ac:dyDescent="0.25">
      <c r="D454" s="15"/>
    </row>
    <row r="455" spans="4:4" x14ac:dyDescent="0.25">
      <c r="D455" s="14"/>
    </row>
    <row r="456" spans="4:4" x14ac:dyDescent="0.25">
      <c r="D456" s="14"/>
    </row>
    <row r="457" spans="4:4" x14ac:dyDescent="0.25">
      <c r="D457" s="13"/>
    </row>
    <row r="458" spans="4:4" x14ac:dyDescent="0.25">
      <c r="D458" s="13"/>
    </row>
    <row r="459" spans="4:4" x14ac:dyDescent="0.25">
      <c r="D459" s="13"/>
    </row>
    <row r="460" spans="4:4" x14ac:dyDescent="0.25">
      <c r="D460" s="13"/>
    </row>
    <row r="461" spans="4:4" x14ac:dyDescent="0.25">
      <c r="D461" s="13"/>
    </row>
    <row r="462" spans="4:4" x14ac:dyDescent="0.25">
      <c r="D462" s="13"/>
    </row>
    <row r="463" spans="4:4" x14ac:dyDescent="0.25">
      <c r="D463" s="13"/>
    </row>
    <row r="464" spans="4:4" x14ac:dyDescent="0.25">
      <c r="D464" s="13"/>
    </row>
  </sheetData>
  <pageMargins left="0.7" right="0.7" top="0.78740157499999996" bottom="0.78740157499999996"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0"/>
  <sheetViews>
    <sheetView zoomScaleNormal="100" workbookViewId="0">
      <pane xSplit="4" ySplit="1" topLeftCell="H2" activePane="bottomRight" state="frozen"/>
      <selection pane="topRight" activeCell="F1" sqref="F1"/>
      <selection pane="bottomLeft" activeCell="A2" sqref="A2"/>
      <selection pane="bottomRight" activeCell="I25" sqref="I2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45</v>
      </c>
      <c r="D2" s="16" t="s">
        <v>786</v>
      </c>
      <c r="F2">
        <v>24.76</v>
      </c>
      <c r="G2" t="s">
        <v>44</v>
      </c>
      <c r="H2">
        <v>0</v>
      </c>
      <c r="I2">
        <f>1.2*(4+4.5)*2</f>
        <v>20.399999999999999</v>
      </c>
      <c r="L2">
        <f>Constants!$B$2</f>
        <v>2.8</v>
      </c>
      <c r="M2" t="str">
        <f t="shared" ref="M2:M5" si="0">IF(N2&gt;0,G2,"N/A")</f>
        <v>N/A</v>
      </c>
      <c r="N2">
        <f>P2*Constants!$E$2</f>
        <v>0</v>
      </c>
      <c r="P2">
        <f>H2</f>
        <v>0</v>
      </c>
      <c r="Q2">
        <f>P2*Constants!$B$3</f>
        <v>0</v>
      </c>
      <c r="R2">
        <f>IF(Q2-N2&lt;=0, 0, Q2-N2)</f>
        <v>0</v>
      </c>
      <c r="S2">
        <f>I2-P2</f>
        <v>20.399999999999999</v>
      </c>
      <c r="T2">
        <f>S2*Constants!$B$2</f>
        <v>57.11999999999999</v>
      </c>
      <c r="V2">
        <f>IF(B2="E",1,0)</f>
        <v>0</v>
      </c>
      <c r="W2">
        <f>IF(B2=10,1,0)</f>
        <v>0</v>
      </c>
      <c r="AA2" s="8"/>
      <c r="AJ2" s="4"/>
    </row>
    <row r="3" spans="1:40" x14ac:dyDescent="0.25">
      <c r="A3">
        <v>2</v>
      </c>
      <c r="B3">
        <v>7</v>
      </c>
      <c r="C3" s="17" t="s">
        <v>67</v>
      </c>
      <c r="D3" s="16" t="s">
        <v>787</v>
      </c>
      <c r="F3">
        <v>24.76</v>
      </c>
      <c r="G3">
        <v>90</v>
      </c>
      <c r="H3">
        <v>3</v>
      </c>
      <c r="I3">
        <f>21.66</f>
        <v>21.66</v>
      </c>
      <c r="L3">
        <f>Constants!$B$2</f>
        <v>2.8</v>
      </c>
      <c r="M3">
        <f t="shared" si="0"/>
        <v>90</v>
      </c>
      <c r="N3">
        <f>P3*Constants!$E$2</f>
        <v>5.0999999999999996</v>
      </c>
      <c r="P3">
        <f t="shared" ref="P3:P6" si="1">H3</f>
        <v>3</v>
      </c>
      <c r="Q3">
        <f>P3*Constants!$B$3</f>
        <v>12.599999999999998</v>
      </c>
      <c r="R3">
        <f t="shared" ref="R3:R6" si="2">IF(Q3-N3&lt;=0, 0, Q3-N3)</f>
        <v>7.4999999999999982</v>
      </c>
      <c r="S3">
        <f t="shared" ref="S3:S6" si="3">I3-P3</f>
        <v>18.66</v>
      </c>
      <c r="T3">
        <f>S3*Constants!$B$2</f>
        <v>52.247999999999998</v>
      </c>
      <c r="V3">
        <f t="shared" ref="V3:V6" si="4">IF(B3="E",1,0)</f>
        <v>0</v>
      </c>
      <c r="W3">
        <f t="shared" ref="W3:W6" si="5">IF(B3=10,1,0)</f>
        <v>0</v>
      </c>
      <c r="AA3" s="8"/>
      <c r="AJ3" s="4"/>
    </row>
    <row r="4" spans="1:40" x14ac:dyDescent="0.25">
      <c r="A4">
        <v>3</v>
      </c>
      <c r="B4">
        <v>7</v>
      </c>
      <c r="C4" t="s">
        <v>57</v>
      </c>
      <c r="D4" s="16" t="s">
        <v>788</v>
      </c>
      <c r="E4" s="16" t="s">
        <v>787</v>
      </c>
      <c r="F4">
        <f>1.2*2.9</f>
        <v>3.48</v>
      </c>
      <c r="G4" t="s">
        <v>44</v>
      </c>
      <c r="H4">
        <v>0</v>
      </c>
      <c r="I4">
        <f>2*(1.2+2.9)</f>
        <v>8.1999999999999993</v>
      </c>
      <c r="L4">
        <f>Constants!$B$2</f>
        <v>2.8</v>
      </c>
      <c r="M4" t="str">
        <f t="shared" ref="M4" si="6">IF(N4&gt;0,G4,"N/A")</f>
        <v>N/A</v>
      </c>
      <c r="N4">
        <f>P4*Constants!$E$2</f>
        <v>0</v>
      </c>
      <c r="P4">
        <f>H4</f>
        <v>0</v>
      </c>
      <c r="Q4">
        <f>P4*Constants!$B$3</f>
        <v>0</v>
      </c>
      <c r="R4">
        <f>IF(Q4-N4&lt;=0, 0, Q4-N4)</f>
        <v>0</v>
      </c>
      <c r="S4">
        <f>I4-P4</f>
        <v>8.1999999999999993</v>
      </c>
      <c r="T4">
        <f>S4*Constants!$B$2</f>
        <v>22.959999999999997</v>
      </c>
      <c r="V4">
        <f>IF(B4="E",1,0)</f>
        <v>0</v>
      </c>
      <c r="W4">
        <f>IF(B4=10,1,0)</f>
        <v>0</v>
      </c>
      <c r="AA4" s="8"/>
      <c r="AJ4" s="4"/>
    </row>
    <row r="5" spans="1:40" x14ac:dyDescent="0.25">
      <c r="A5">
        <v>4</v>
      </c>
      <c r="B5">
        <v>7</v>
      </c>
      <c r="C5" t="s">
        <v>54</v>
      </c>
      <c r="D5" s="16" t="s">
        <v>789</v>
      </c>
      <c r="F5">
        <v>24.58</v>
      </c>
      <c r="G5">
        <v>90</v>
      </c>
      <c r="H5">
        <v>3</v>
      </c>
      <c r="I5">
        <f t="shared" ref="I5:I7" si="7">21.66</f>
        <v>21.66</v>
      </c>
      <c r="L5">
        <f>Constants!$B$2</f>
        <v>2.8</v>
      </c>
      <c r="M5">
        <f t="shared" si="0"/>
        <v>90</v>
      </c>
      <c r="N5">
        <f>P5*Constants!$E$2</f>
        <v>5.0999999999999996</v>
      </c>
      <c r="P5">
        <f t="shared" si="1"/>
        <v>3</v>
      </c>
      <c r="Q5">
        <f>P5*Constants!$B$3</f>
        <v>12.599999999999998</v>
      </c>
      <c r="R5">
        <f t="shared" si="2"/>
        <v>7.4999999999999982</v>
      </c>
      <c r="S5">
        <f t="shared" si="3"/>
        <v>18.66</v>
      </c>
      <c r="T5">
        <f>S5*Constants!$B$2</f>
        <v>52.247999999999998</v>
      </c>
      <c r="V5">
        <f t="shared" si="4"/>
        <v>0</v>
      </c>
      <c r="W5">
        <f t="shared" si="5"/>
        <v>0</v>
      </c>
      <c r="AA5" s="8"/>
      <c r="AJ5" s="4"/>
    </row>
    <row r="6" spans="1:40" x14ac:dyDescent="0.25">
      <c r="A6">
        <v>5</v>
      </c>
      <c r="B6">
        <v>7</v>
      </c>
      <c r="C6" t="s">
        <v>57</v>
      </c>
      <c r="D6" s="16" t="s">
        <v>790</v>
      </c>
      <c r="E6" s="16" t="s">
        <v>789</v>
      </c>
      <c r="F6">
        <f>1.2*2.9</f>
        <v>3.48</v>
      </c>
      <c r="G6" t="s">
        <v>44</v>
      </c>
      <c r="H6">
        <v>0</v>
      </c>
      <c r="I6">
        <f>2*(1.2+2.9)</f>
        <v>8.1999999999999993</v>
      </c>
      <c r="L6">
        <f>Constants!$B$2</f>
        <v>2.8</v>
      </c>
      <c r="M6" t="str">
        <f t="shared" ref="M6:M40" si="8">IF(N6&gt;0,G6,"N/A")</f>
        <v>N/A</v>
      </c>
      <c r="N6">
        <f>P6*Constants!$E$2</f>
        <v>0</v>
      </c>
      <c r="P6">
        <f t="shared" si="1"/>
        <v>0</v>
      </c>
      <c r="Q6">
        <f>P6*Constants!$B$3</f>
        <v>0</v>
      </c>
      <c r="R6">
        <f t="shared" si="2"/>
        <v>0</v>
      </c>
      <c r="S6">
        <f t="shared" si="3"/>
        <v>8.1999999999999993</v>
      </c>
      <c r="T6">
        <f>S6*Constants!$B$2</f>
        <v>22.959999999999997</v>
      </c>
      <c r="V6">
        <f t="shared" si="4"/>
        <v>0</v>
      </c>
      <c r="W6">
        <f t="shared" si="5"/>
        <v>0</v>
      </c>
      <c r="AA6" s="8"/>
      <c r="AJ6" s="4"/>
    </row>
    <row r="7" spans="1:40" x14ac:dyDescent="0.25">
      <c r="A7">
        <v>6</v>
      </c>
      <c r="B7">
        <v>7</v>
      </c>
      <c r="C7" t="s">
        <v>49</v>
      </c>
      <c r="D7" s="16" t="s">
        <v>791</v>
      </c>
      <c r="F7">
        <v>24.58</v>
      </c>
      <c r="G7">
        <v>90</v>
      </c>
      <c r="H7">
        <v>3</v>
      </c>
      <c r="I7">
        <f t="shared" si="7"/>
        <v>21.66</v>
      </c>
      <c r="L7">
        <f>Constants!$B$2</f>
        <v>2.8</v>
      </c>
      <c r="M7">
        <f t="shared" si="8"/>
        <v>90</v>
      </c>
      <c r="N7">
        <f>P7*Constants!$E$2</f>
        <v>5.0999999999999996</v>
      </c>
      <c r="P7">
        <f t="shared" ref="P7:P40" si="9">H7</f>
        <v>3</v>
      </c>
      <c r="Q7">
        <f>P7*Constants!$B$3</f>
        <v>12.599999999999998</v>
      </c>
      <c r="R7">
        <f t="shared" ref="R7:R40" si="10">IF(Q7-N7&lt;=0, 0, Q7-N7)</f>
        <v>7.4999999999999982</v>
      </c>
      <c r="S7">
        <f t="shared" ref="S7:S40" si="11">I7-P7</f>
        <v>18.66</v>
      </c>
      <c r="T7">
        <f>S7*Constants!$B$2</f>
        <v>52.247999999999998</v>
      </c>
      <c r="V7">
        <f t="shared" ref="V7:V40" si="12">IF(B7="E",1,0)</f>
        <v>0</v>
      </c>
      <c r="W7">
        <f t="shared" ref="W7:W40" si="13">IF(B7=10,1,0)</f>
        <v>0</v>
      </c>
      <c r="AA7" s="8"/>
      <c r="AJ7" s="4"/>
    </row>
    <row r="8" spans="1:40" x14ac:dyDescent="0.25">
      <c r="A8">
        <v>7</v>
      </c>
      <c r="B8">
        <v>7</v>
      </c>
      <c r="C8" t="s">
        <v>57</v>
      </c>
      <c r="D8" s="16" t="s">
        <v>822</v>
      </c>
      <c r="E8" s="16" t="s">
        <v>791</v>
      </c>
      <c r="F8">
        <f>1.2*2.9</f>
        <v>3.48</v>
      </c>
      <c r="G8" t="s">
        <v>44</v>
      </c>
      <c r="H8">
        <v>0</v>
      </c>
      <c r="I8">
        <f>2*(1.2+2.9)</f>
        <v>8.1999999999999993</v>
      </c>
      <c r="L8">
        <f>Constants!$B$2</f>
        <v>2.8</v>
      </c>
      <c r="M8" t="str">
        <f t="shared" si="8"/>
        <v>N/A</v>
      </c>
      <c r="N8">
        <f>P8*Constants!$E$2</f>
        <v>0</v>
      </c>
      <c r="P8">
        <f t="shared" si="9"/>
        <v>0</v>
      </c>
      <c r="Q8">
        <f>P8*Constants!$B$3</f>
        <v>0</v>
      </c>
      <c r="R8">
        <f t="shared" si="10"/>
        <v>0</v>
      </c>
      <c r="S8">
        <f t="shared" si="11"/>
        <v>8.1999999999999993</v>
      </c>
      <c r="T8">
        <f>S8*Constants!$B$2</f>
        <v>22.959999999999997</v>
      </c>
      <c r="V8">
        <f t="shared" si="12"/>
        <v>0</v>
      </c>
      <c r="W8">
        <f t="shared" si="13"/>
        <v>0</v>
      </c>
      <c r="AA8" s="8"/>
      <c r="AJ8" s="4"/>
    </row>
    <row r="9" spans="1:40" x14ac:dyDescent="0.25">
      <c r="A9">
        <v>8</v>
      </c>
      <c r="B9">
        <v>7</v>
      </c>
      <c r="C9" t="s">
        <v>62</v>
      </c>
      <c r="D9" s="16" t="s">
        <v>792</v>
      </c>
      <c r="F9">
        <v>110.35</v>
      </c>
      <c r="G9" t="s">
        <v>44</v>
      </c>
      <c r="H9">
        <v>0</v>
      </c>
      <c r="I9">
        <v>93.59</v>
      </c>
      <c r="L9">
        <f>Constants!$B$2</f>
        <v>2.8</v>
      </c>
      <c r="M9" t="str">
        <f t="shared" si="8"/>
        <v>N/A</v>
      </c>
      <c r="N9">
        <f>P9*Constants!$E$2</f>
        <v>0</v>
      </c>
      <c r="P9">
        <f t="shared" si="9"/>
        <v>0</v>
      </c>
      <c r="Q9">
        <f>P9*Constants!$B$3</f>
        <v>0</v>
      </c>
      <c r="R9">
        <f t="shared" si="10"/>
        <v>0</v>
      </c>
      <c r="S9">
        <f t="shared" si="11"/>
        <v>93.59</v>
      </c>
      <c r="T9">
        <f>S9*Constants!$B$2</f>
        <v>262.05200000000002</v>
      </c>
      <c r="V9">
        <f t="shared" si="12"/>
        <v>0</v>
      </c>
      <c r="W9">
        <f t="shared" si="13"/>
        <v>0</v>
      </c>
      <c r="AA9" s="8"/>
      <c r="AJ9" s="4"/>
    </row>
    <row r="10" spans="1:40" x14ac:dyDescent="0.25">
      <c r="A10">
        <v>9</v>
      </c>
      <c r="B10">
        <v>7</v>
      </c>
      <c r="C10" t="s">
        <v>49</v>
      </c>
      <c r="D10" s="16" t="s">
        <v>793</v>
      </c>
      <c r="F10">
        <v>38.54</v>
      </c>
      <c r="G10">
        <v>90</v>
      </c>
      <c r="H10">
        <f>1.2*5</f>
        <v>6</v>
      </c>
      <c r="I10">
        <f>1.2*(5+6.5)*2</f>
        <v>27.599999999999998</v>
      </c>
      <c r="L10">
        <f>Constants!$B$2</f>
        <v>2.8</v>
      </c>
      <c r="M10">
        <f t="shared" si="8"/>
        <v>90</v>
      </c>
      <c r="N10">
        <f>P10*Constants!$E$2</f>
        <v>10.199999999999999</v>
      </c>
      <c r="P10">
        <f t="shared" si="9"/>
        <v>6</v>
      </c>
      <c r="Q10">
        <f>P10*Constants!$B$3</f>
        <v>25.199999999999996</v>
      </c>
      <c r="R10">
        <f t="shared" si="10"/>
        <v>14.999999999999996</v>
      </c>
      <c r="S10">
        <f t="shared" si="11"/>
        <v>21.599999999999998</v>
      </c>
      <c r="T10">
        <f>S10*Constants!$B$2</f>
        <v>60.47999999999999</v>
      </c>
      <c r="V10">
        <f t="shared" si="12"/>
        <v>0</v>
      </c>
      <c r="W10">
        <f t="shared" si="13"/>
        <v>0</v>
      </c>
      <c r="AA10" s="8"/>
      <c r="AJ10" s="4"/>
    </row>
    <row r="11" spans="1:40" x14ac:dyDescent="0.25">
      <c r="A11">
        <v>10</v>
      </c>
      <c r="B11">
        <v>7</v>
      </c>
      <c r="C11" t="s">
        <v>57</v>
      </c>
      <c r="D11" s="16" t="s">
        <v>231</v>
      </c>
      <c r="E11" s="16" t="s">
        <v>793</v>
      </c>
      <c r="F11">
        <f>1.2*2.9</f>
        <v>3.48</v>
      </c>
      <c r="G11" t="s">
        <v>44</v>
      </c>
      <c r="H11">
        <v>0</v>
      </c>
      <c r="I11">
        <f>2*(1.2+2.9)</f>
        <v>8.1999999999999993</v>
      </c>
      <c r="L11">
        <f>Constants!$B$2</f>
        <v>2.8</v>
      </c>
      <c r="M11" t="str">
        <f t="shared" si="8"/>
        <v>N/A</v>
      </c>
      <c r="N11">
        <f>P11*Constants!$E$2</f>
        <v>0</v>
      </c>
      <c r="P11">
        <f t="shared" si="9"/>
        <v>0</v>
      </c>
      <c r="Q11">
        <f>P11*Constants!$B$3</f>
        <v>0</v>
      </c>
      <c r="R11">
        <f t="shared" si="10"/>
        <v>0</v>
      </c>
      <c r="S11">
        <f t="shared" si="11"/>
        <v>8.1999999999999993</v>
      </c>
      <c r="T11">
        <f>S11*Constants!$B$2</f>
        <v>22.959999999999997</v>
      </c>
      <c r="V11">
        <f t="shared" si="12"/>
        <v>0</v>
      </c>
      <c r="W11">
        <f t="shared" si="13"/>
        <v>0</v>
      </c>
      <c r="AA11" s="8"/>
      <c r="AJ11" s="4"/>
    </row>
    <row r="12" spans="1:40" x14ac:dyDescent="0.25">
      <c r="A12">
        <v>11</v>
      </c>
      <c r="B12">
        <v>7</v>
      </c>
      <c r="C12" t="s">
        <v>45</v>
      </c>
      <c r="D12" s="16" t="s">
        <v>794</v>
      </c>
      <c r="E12" s="16"/>
      <c r="F12">
        <v>7.76</v>
      </c>
      <c r="G12" t="s">
        <v>44</v>
      </c>
      <c r="H12">
        <v>0</v>
      </c>
      <c r="I12">
        <f>2*(3.7+2.4)</f>
        <v>12.2</v>
      </c>
      <c r="L12">
        <f>Constants!$B$2</f>
        <v>2.8</v>
      </c>
      <c r="M12" t="str">
        <f t="shared" si="8"/>
        <v>N/A</v>
      </c>
      <c r="N12">
        <f>P12*Constants!$E$2</f>
        <v>0</v>
      </c>
      <c r="P12">
        <f t="shared" si="9"/>
        <v>0</v>
      </c>
      <c r="Q12">
        <f>P12*Constants!$B$3</f>
        <v>0</v>
      </c>
      <c r="R12">
        <f t="shared" si="10"/>
        <v>0</v>
      </c>
      <c r="S12">
        <f t="shared" si="11"/>
        <v>12.2</v>
      </c>
      <c r="T12">
        <f>S12*Constants!$B$2</f>
        <v>34.159999999999997</v>
      </c>
      <c r="V12">
        <f t="shared" si="12"/>
        <v>0</v>
      </c>
      <c r="W12">
        <f t="shared" si="13"/>
        <v>0</v>
      </c>
      <c r="AA12" s="8"/>
      <c r="AJ12" s="4"/>
    </row>
    <row r="13" spans="1:40" x14ac:dyDescent="0.25">
      <c r="A13">
        <v>12</v>
      </c>
      <c r="B13">
        <v>7</v>
      </c>
      <c r="C13" t="s">
        <v>54</v>
      </c>
      <c r="D13" s="16" t="s">
        <v>795</v>
      </c>
      <c r="F13">
        <v>38.54</v>
      </c>
      <c r="G13">
        <v>90</v>
      </c>
      <c r="H13">
        <v>6</v>
      </c>
      <c r="I13">
        <f>1.2*(5+6.5)*2</f>
        <v>27.599999999999998</v>
      </c>
      <c r="L13">
        <f>Constants!$B$2</f>
        <v>2.8</v>
      </c>
      <c r="M13">
        <f t="shared" si="8"/>
        <v>90</v>
      </c>
      <c r="N13">
        <f>P13*Constants!$E$2</f>
        <v>10.199999999999999</v>
      </c>
      <c r="P13">
        <f t="shared" si="9"/>
        <v>6</v>
      </c>
      <c r="Q13">
        <f>P13*Constants!$B$3</f>
        <v>25.199999999999996</v>
      </c>
      <c r="R13">
        <f t="shared" si="10"/>
        <v>14.999999999999996</v>
      </c>
      <c r="S13">
        <f t="shared" si="11"/>
        <v>21.599999999999998</v>
      </c>
      <c r="T13">
        <f>S13*Constants!$B$2</f>
        <v>60.47999999999999</v>
      </c>
      <c r="V13">
        <f t="shared" si="12"/>
        <v>0</v>
      </c>
      <c r="W13">
        <f t="shared" si="13"/>
        <v>0</v>
      </c>
      <c r="AA13" s="8"/>
      <c r="AJ13" s="4"/>
    </row>
    <row r="14" spans="1:40" x14ac:dyDescent="0.25">
      <c r="A14">
        <v>13</v>
      </c>
      <c r="B14">
        <v>7</v>
      </c>
      <c r="C14" t="s">
        <v>57</v>
      </c>
      <c r="D14" s="16" t="s">
        <v>796</v>
      </c>
      <c r="E14" s="16" t="s">
        <v>795</v>
      </c>
      <c r="F14">
        <f>1.2*2.9</f>
        <v>3.48</v>
      </c>
      <c r="G14" t="s">
        <v>44</v>
      </c>
      <c r="H14">
        <v>0</v>
      </c>
      <c r="I14">
        <f>2*(1.2+2.9)</f>
        <v>8.1999999999999993</v>
      </c>
      <c r="L14">
        <f>Constants!$B$2</f>
        <v>2.8</v>
      </c>
      <c r="M14" t="str">
        <f t="shared" si="8"/>
        <v>N/A</v>
      </c>
      <c r="N14">
        <f>P14*Constants!$E$2</f>
        <v>0</v>
      </c>
      <c r="P14">
        <f t="shared" si="9"/>
        <v>0</v>
      </c>
      <c r="Q14">
        <f>P14*Constants!$B$3</f>
        <v>0</v>
      </c>
      <c r="R14">
        <f t="shared" si="10"/>
        <v>0</v>
      </c>
      <c r="S14">
        <f t="shared" si="11"/>
        <v>8.1999999999999993</v>
      </c>
      <c r="T14">
        <f>S14*Constants!$B$2</f>
        <v>22.959999999999997</v>
      </c>
      <c r="V14">
        <f t="shared" si="12"/>
        <v>0</v>
      </c>
      <c r="W14">
        <f t="shared" si="13"/>
        <v>0</v>
      </c>
      <c r="AA14" s="8"/>
      <c r="AJ14" s="4"/>
    </row>
    <row r="15" spans="1:40" x14ac:dyDescent="0.25">
      <c r="A15">
        <v>14</v>
      </c>
      <c r="B15">
        <v>7</v>
      </c>
      <c r="C15" t="s">
        <v>49</v>
      </c>
      <c r="D15" s="16" t="s">
        <v>797</v>
      </c>
      <c r="F15">
        <v>24.58</v>
      </c>
      <c r="G15">
        <v>90</v>
      </c>
      <c r="H15">
        <v>3.6</v>
      </c>
      <c r="I15">
        <f>2*(3.6+7.9)</f>
        <v>23</v>
      </c>
      <c r="L15">
        <f>Constants!$B$2</f>
        <v>2.8</v>
      </c>
      <c r="M15">
        <f t="shared" si="8"/>
        <v>90</v>
      </c>
      <c r="N15">
        <f>P15*Constants!$E$2</f>
        <v>6.12</v>
      </c>
      <c r="P15">
        <f t="shared" si="9"/>
        <v>3.6</v>
      </c>
      <c r="Q15">
        <f>P15*Constants!$B$3</f>
        <v>15.119999999999997</v>
      </c>
      <c r="R15">
        <f t="shared" si="10"/>
        <v>8.9999999999999964</v>
      </c>
      <c r="S15">
        <f t="shared" si="11"/>
        <v>19.399999999999999</v>
      </c>
      <c r="T15">
        <f>S15*Constants!$B$2</f>
        <v>54.319999999999993</v>
      </c>
      <c r="V15">
        <f t="shared" si="12"/>
        <v>0</v>
      </c>
      <c r="W15">
        <f t="shared" si="13"/>
        <v>0</v>
      </c>
      <c r="AA15" s="8"/>
      <c r="AJ15" s="4"/>
    </row>
    <row r="16" spans="1:40" x14ac:dyDescent="0.25">
      <c r="A16">
        <v>15</v>
      </c>
      <c r="B16">
        <v>7</v>
      </c>
      <c r="C16" t="s">
        <v>57</v>
      </c>
      <c r="D16" s="16" t="s">
        <v>798</v>
      </c>
      <c r="E16" s="16" t="s">
        <v>797</v>
      </c>
      <c r="F16">
        <f>1.2*2.9</f>
        <v>3.48</v>
      </c>
      <c r="G16" t="s">
        <v>44</v>
      </c>
      <c r="H16">
        <v>0</v>
      </c>
      <c r="I16">
        <f>2*(1.2+2.9)</f>
        <v>8.1999999999999993</v>
      </c>
      <c r="L16">
        <f>Constants!$B$2</f>
        <v>2.8</v>
      </c>
      <c r="M16" t="str">
        <f t="shared" si="8"/>
        <v>N/A</v>
      </c>
      <c r="N16">
        <f>P16*Constants!$E$2</f>
        <v>0</v>
      </c>
      <c r="P16">
        <f t="shared" si="9"/>
        <v>0</v>
      </c>
      <c r="Q16">
        <f>P16*Constants!$B$3</f>
        <v>0</v>
      </c>
      <c r="R16">
        <f t="shared" si="10"/>
        <v>0</v>
      </c>
      <c r="S16">
        <f t="shared" si="11"/>
        <v>8.1999999999999993</v>
      </c>
      <c r="T16">
        <f>S16*Constants!$B$2</f>
        <v>22.959999999999997</v>
      </c>
      <c r="V16">
        <f t="shared" si="12"/>
        <v>0</v>
      </c>
      <c r="W16">
        <f t="shared" si="13"/>
        <v>0</v>
      </c>
      <c r="AA16" s="8"/>
      <c r="AJ16" s="4"/>
    </row>
    <row r="17" spans="1:36" x14ac:dyDescent="0.25">
      <c r="A17">
        <v>16</v>
      </c>
      <c r="B17">
        <v>7</v>
      </c>
      <c r="C17" t="s">
        <v>49</v>
      </c>
      <c r="D17" s="16" t="s">
        <v>799</v>
      </c>
      <c r="F17">
        <v>24.58</v>
      </c>
      <c r="G17">
        <v>90</v>
      </c>
      <c r="H17">
        <v>3.6</v>
      </c>
      <c r="I17">
        <f>2*(3.6+7.9)</f>
        <v>23</v>
      </c>
      <c r="L17">
        <f>Constants!$B$2</f>
        <v>2.8</v>
      </c>
      <c r="M17">
        <f t="shared" si="8"/>
        <v>90</v>
      </c>
      <c r="N17">
        <f>P17*Constants!$E$2</f>
        <v>6.12</v>
      </c>
      <c r="P17">
        <f t="shared" si="9"/>
        <v>3.6</v>
      </c>
      <c r="Q17">
        <f>P17*Constants!$B$3</f>
        <v>15.119999999999997</v>
      </c>
      <c r="R17">
        <f t="shared" si="10"/>
        <v>8.9999999999999964</v>
      </c>
      <c r="S17">
        <f t="shared" si="11"/>
        <v>19.399999999999999</v>
      </c>
      <c r="T17">
        <f>S17*Constants!$B$2</f>
        <v>54.319999999999993</v>
      </c>
      <c r="V17">
        <f t="shared" si="12"/>
        <v>0</v>
      </c>
      <c r="W17">
        <f t="shared" si="13"/>
        <v>0</v>
      </c>
      <c r="AA17" s="8"/>
      <c r="AJ17" s="4"/>
    </row>
    <row r="18" spans="1:36" x14ac:dyDescent="0.25">
      <c r="A18">
        <v>17</v>
      </c>
      <c r="B18">
        <v>7</v>
      </c>
      <c r="C18" t="s">
        <v>57</v>
      </c>
      <c r="D18" s="16" t="s">
        <v>800</v>
      </c>
      <c r="E18" s="16" t="s">
        <v>799</v>
      </c>
      <c r="F18">
        <f>1.2*2.9</f>
        <v>3.48</v>
      </c>
      <c r="G18" t="s">
        <v>44</v>
      </c>
      <c r="H18">
        <v>0</v>
      </c>
      <c r="I18">
        <f>2*(1.2+2.9)</f>
        <v>8.1999999999999993</v>
      </c>
      <c r="L18">
        <f>Constants!$B$2</f>
        <v>2.8</v>
      </c>
      <c r="M18" t="str">
        <f t="shared" si="8"/>
        <v>N/A</v>
      </c>
      <c r="N18">
        <f>P18*Constants!$E$2</f>
        <v>0</v>
      </c>
      <c r="P18">
        <f t="shared" si="9"/>
        <v>0</v>
      </c>
      <c r="Q18">
        <f>P18*Constants!$B$3</f>
        <v>0</v>
      </c>
      <c r="R18">
        <f t="shared" si="10"/>
        <v>0</v>
      </c>
      <c r="S18">
        <f t="shared" si="11"/>
        <v>8.1999999999999993</v>
      </c>
      <c r="T18">
        <f>S18*Constants!$B$2</f>
        <v>22.959999999999997</v>
      </c>
      <c r="V18">
        <f t="shared" si="12"/>
        <v>0</v>
      </c>
      <c r="W18">
        <f t="shared" si="13"/>
        <v>0</v>
      </c>
      <c r="AA18" s="8"/>
      <c r="AJ18" s="4"/>
    </row>
    <row r="19" spans="1:36" x14ac:dyDescent="0.25">
      <c r="A19">
        <v>18</v>
      </c>
      <c r="B19">
        <v>7</v>
      </c>
      <c r="C19" t="s">
        <v>59</v>
      </c>
      <c r="D19" s="16" t="s">
        <v>801</v>
      </c>
      <c r="E19" s="16"/>
      <c r="F19">
        <v>24.8</v>
      </c>
      <c r="G19">
        <v>90</v>
      </c>
      <c r="H19">
        <f>3.6+3.3</f>
        <v>6.9</v>
      </c>
      <c r="I19">
        <f>2*(3.6+7.9)</f>
        <v>23</v>
      </c>
      <c r="L19">
        <f>Constants!$B$2</f>
        <v>2.8</v>
      </c>
      <c r="M19">
        <f t="shared" si="8"/>
        <v>90</v>
      </c>
      <c r="N19">
        <f>P19*Constants!$E$2</f>
        <v>11.73</v>
      </c>
      <c r="P19">
        <f t="shared" si="9"/>
        <v>6.9</v>
      </c>
      <c r="Q19">
        <f>P19*Constants!$B$3</f>
        <v>28.979999999999997</v>
      </c>
      <c r="R19">
        <f t="shared" si="10"/>
        <v>17.249999999999996</v>
      </c>
      <c r="S19">
        <f t="shared" si="11"/>
        <v>16.100000000000001</v>
      </c>
      <c r="T19">
        <f>S19*Constants!$B$2</f>
        <v>45.08</v>
      </c>
      <c r="V19">
        <f t="shared" si="12"/>
        <v>0</v>
      </c>
      <c r="W19">
        <f t="shared" si="13"/>
        <v>0</v>
      </c>
      <c r="AA19" s="8"/>
      <c r="AJ19" s="4"/>
    </row>
    <row r="20" spans="1:36" x14ac:dyDescent="0.25">
      <c r="A20">
        <v>19</v>
      </c>
      <c r="B20">
        <v>7</v>
      </c>
      <c r="C20" t="s">
        <v>57</v>
      </c>
      <c r="D20" s="16" t="s">
        <v>802</v>
      </c>
      <c r="E20" s="16" t="s">
        <v>801</v>
      </c>
      <c r="F20">
        <f>1.2*2.9</f>
        <v>3.48</v>
      </c>
      <c r="G20" t="s">
        <v>44</v>
      </c>
      <c r="H20">
        <v>0</v>
      </c>
      <c r="I20">
        <f>2*(1.2+2.9)</f>
        <v>8.1999999999999993</v>
      </c>
      <c r="L20">
        <f>Constants!$B$2</f>
        <v>2.8</v>
      </c>
      <c r="M20" t="str">
        <f t="shared" si="8"/>
        <v>N/A</v>
      </c>
      <c r="N20">
        <f>P20*Constants!$E$2</f>
        <v>0</v>
      </c>
      <c r="P20">
        <f t="shared" si="9"/>
        <v>0</v>
      </c>
      <c r="Q20">
        <f>P20*Constants!$B$3</f>
        <v>0</v>
      </c>
      <c r="R20">
        <f t="shared" si="10"/>
        <v>0</v>
      </c>
      <c r="S20">
        <f t="shared" si="11"/>
        <v>8.1999999999999993</v>
      </c>
      <c r="T20">
        <f>S20*Constants!$B$2</f>
        <v>22.959999999999997</v>
      </c>
      <c r="V20">
        <f t="shared" si="12"/>
        <v>0</v>
      </c>
      <c r="W20">
        <f t="shared" si="13"/>
        <v>0</v>
      </c>
      <c r="AA20" s="8"/>
      <c r="AJ20" s="4"/>
    </row>
    <row r="21" spans="1:36" x14ac:dyDescent="0.25">
      <c r="A21">
        <v>20</v>
      </c>
      <c r="B21">
        <v>7</v>
      </c>
      <c r="C21" t="s">
        <v>64</v>
      </c>
      <c r="D21" s="16" t="s">
        <v>803</v>
      </c>
      <c r="F21">
        <v>3.72</v>
      </c>
      <c r="G21">
        <v>90</v>
      </c>
      <c r="H21">
        <v>1.3</v>
      </c>
      <c r="I21">
        <f>2*(2.8+1.3)</f>
        <v>8.1999999999999993</v>
      </c>
      <c r="L21">
        <f>Constants!$B$2</f>
        <v>2.8</v>
      </c>
      <c r="M21">
        <f t="shared" si="8"/>
        <v>90</v>
      </c>
      <c r="N21">
        <f>P21*Constants!$E$2</f>
        <v>2.21</v>
      </c>
      <c r="P21">
        <f t="shared" si="9"/>
        <v>1.3</v>
      </c>
      <c r="Q21">
        <f>P21*Constants!$B$3</f>
        <v>5.4599999999999991</v>
      </c>
      <c r="R21">
        <f t="shared" si="10"/>
        <v>3.2499999999999991</v>
      </c>
      <c r="S21">
        <f t="shared" si="11"/>
        <v>6.8999999999999995</v>
      </c>
      <c r="T21">
        <f>S21*Constants!$B$2</f>
        <v>19.319999999999997</v>
      </c>
      <c r="V21">
        <f t="shared" si="12"/>
        <v>0</v>
      </c>
      <c r="W21">
        <f t="shared" si="13"/>
        <v>0</v>
      </c>
      <c r="AA21" s="8"/>
      <c r="AJ21" s="4"/>
    </row>
    <row r="22" spans="1:36" x14ac:dyDescent="0.25">
      <c r="A22">
        <v>21</v>
      </c>
      <c r="B22">
        <v>7</v>
      </c>
      <c r="C22" t="s">
        <v>64</v>
      </c>
      <c r="D22" s="16" t="s">
        <v>804</v>
      </c>
      <c r="F22">
        <v>3.72</v>
      </c>
      <c r="G22">
        <v>90</v>
      </c>
      <c r="H22">
        <v>1.3</v>
      </c>
      <c r="I22">
        <f>2*(2.8+1.3)</f>
        <v>8.1999999999999993</v>
      </c>
      <c r="L22">
        <f>Constants!$B$2</f>
        <v>2.8</v>
      </c>
      <c r="M22">
        <f t="shared" si="8"/>
        <v>90</v>
      </c>
      <c r="N22">
        <f>P22*Constants!$E$2</f>
        <v>2.21</v>
      </c>
      <c r="P22">
        <f t="shared" si="9"/>
        <v>1.3</v>
      </c>
      <c r="Q22">
        <f>P22*Constants!$B$3</f>
        <v>5.4599999999999991</v>
      </c>
      <c r="R22">
        <f t="shared" si="10"/>
        <v>3.2499999999999991</v>
      </c>
      <c r="S22">
        <f t="shared" si="11"/>
        <v>6.8999999999999995</v>
      </c>
      <c r="T22">
        <f>S22*Constants!$B$2</f>
        <v>19.319999999999997</v>
      </c>
      <c r="V22">
        <f t="shared" si="12"/>
        <v>0</v>
      </c>
      <c r="W22">
        <f t="shared" si="13"/>
        <v>0</v>
      </c>
      <c r="AA22" s="8"/>
      <c r="AJ22" s="4"/>
    </row>
    <row r="23" spans="1:36" x14ac:dyDescent="0.25">
      <c r="A23">
        <v>22</v>
      </c>
      <c r="B23">
        <v>7</v>
      </c>
      <c r="C23" t="s">
        <v>54</v>
      </c>
      <c r="D23" s="16" t="s">
        <v>805</v>
      </c>
      <c r="F23">
        <v>24.76</v>
      </c>
      <c r="G23">
        <v>270</v>
      </c>
      <c r="H23">
        <f>3.6+3.3</f>
        <v>6.9</v>
      </c>
      <c r="I23">
        <f>2*(3.6+7.9)</f>
        <v>23</v>
      </c>
      <c r="L23">
        <f>Constants!$B$2</f>
        <v>2.8</v>
      </c>
      <c r="M23">
        <f t="shared" si="8"/>
        <v>270</v>
      </c>
      <c r="N23">
        <f>P23*Constants!$E$2</f>
        <v>11.73</v>
      </c>
      <c r="P23">
        <f t="shared" si="9"/>
        <v>6.9</v>
      </c>
      <c r="Q23">
        <f>P23*Constants!$B$3</f>
        <v>28.979999999999997</v>
      </c>
      <c r="R23">
        <f t="shared" si="10"/>
        <v>17.249999999999996</v>
      </c>
      <c r="S23">
        <f t="shared" si="11"/>
        <v>16.100000000000001</v>
      </c>
      <c r="T23">
        <f>S23*Constants!$B$2</f>
        <v>45.08</v>
      </c>
      <c r="V23">
        <f t="shared" si="12"/>
        <v>0</v>
      </c>
      <c r="W23">
        <f t="shared" si="13"/>
        <v>0</v>
      </c>
      <c r="AA23" s="8"/>
      <c r="AJ23" s="4"/>
    </row>
    <row r="24" spans="1:36" x14ac:dyDescent="0.25">
      <c r="A24">
        <v>23</v>
      </c>
      <c r="B24">
        <v>7</v>
      </c>
      <c r="C24" t="s">
        <v>57</v>
      </c>
      <c r="D24" s="16" t="s">
        <v>806</v>
      </c>
      <c r="E24" s="16" t="s">
        <v>805</v>
      </c>
      <c r="F24">
        <f>1.2*2.9</f>
        <v>3.48</v>
      </c>
      <c r="G24" t="s">
        <v>44</v>
      </c>
      <c r="H24">
        <v>0</v>
      </c>
      <c r="I24">
        <f>2*(1.2+2.9)</f>
        <v>8.1999999999999993</v>
      </c>
      <c r="L24">
        <f>Constants!$B$2</f>
        <v>2.8</v>
      </c>
      <c r="M24" t="str">
        <f t="shared" si="8"/>
        <v>N/A</v>
      </c>
      <c r="N24">
        <f>P24*Constants!$E$2</f>
        <v>0</v>
      </c>
      <c r="P24">
        <f t="shared" si="9"/>
        <v>0</v>
      </c>
      <c r="Q24">
        <f>P24*Constants!$B$3</f>
        <v>0</v>
      </c>
      <c r="R24">
        <f t="shared" si="10"/>
        <v>0</v>
      </c>
      <c r="S24">
        <f t="shared" si="11"/>
        <v>8.1999999999999993</v>
      </c>
      <c r="T24">
        <f>S24*Constants!$B$2</f>
        <v>22.959999999999997</v>
      </c>
      <c r="V24">
        <f t="shared" si="12"/>
        <v>0</v>
      </c>
      <c r="W24">
        <f t="shared" si="13"/>
        <v>0</v>
      </c>
      <c r="AA24" s="8"/>
      <c r="AJ24" s="4"/>
    </row>
    <row r="25" spans="1:36" x14ac:dyDescent="0.25">
      <c r="A25">
        <v>24</v>
      </c>
      <c r="B25">
        <v>7</v>
      </c>
      <c r="C25" t="s">
        <v>49</v>
      </c>
      <c r="D25" s="16" t="s">
        <v>807</v>
      </c>
      <c r="F25">
        <v>24.58</v>
      </c>
      <c r="G25">
        <v>270</v>
      </c>
      <c r="H25">
        <v>3.6</v>
      </c>
      <c r="I25">
        <v>23</v>
      </c>
      <c r="L25">
        <f>Constants!$B$2</f>
        <v>2.8</v>
      </c>
      <c r="M25">
        <f t="shared" si="8"/>
        <v>270</v>
      </c>
      <c r="N25">
        <f>P25*Constants!$E$2</f>
        <v>6.12</v>
      </c>
      <c r="P25">
        <f t="shared" si="9"/>
        <v>3.6</v>
      </c>
      <c r="Q25">
        <f>P25*Constants!$B$3</f>
        <v>15.119999999999997</v>
      </c>
      <c r="R25">
        <f t="shared" si="10"/>
        <v>8.9999999999999964</v>
      </c>
      <c r="S25">
        <f t="shared" si="11"/>
        <v>19.399999999999999</v>
      </c>
      <c r="T25">
        <f>S25*Constants!$B$2</f>
        <v>54.319999999999993</v>
      </c>
      <c r="V25">
        <f t="shared" si="12"/>
        <v>0</v>
      </c>
      <c r="W25">
        <f t="shared" si="13"/>
        <v>0</v>
      </c>
      <c r="AA25" s="8"/>
      <c r="AJ25" s="4"/>
    </row>
    <row r="26" spans="1:36" x14ac:dyDescent="0.25">
      <c r="A26">
        <v>25</v>
      </c>
      <c r="B26">
        <v>7</v>
      </c>
      <c r="C26" t="s">
        <v>57</v>
      </c>
      <c r="D26" s="16" t="s">
        <v>808</v>
      </c>
      <c r="E26" s="16" t="s">
        <v>807</v>
      </c>
      <c r="F26">
        <f>1.2*2.9</f>
        <v>3.48</v>
      </c>
      <c r="G26" t="s">
        <v>44</v>
      </c>
      <c r="H26">
        <v>0</v>
      </c>
      <c r="I26">
        <f>2*(1.2+2.9)</f>
        <v>8.1999999999999993</v>
      </c>
      <c r="L26">
        <f>Constants!$B$2</f>
        <v>2.8</v>
      </c>
      <c r="M26" t="str">
        <f t="shared" si="8"/>
        <v>N/A</v>
      </c>
      <c r="N26">
        <f>P26*Constants!$E$2</f>
        <v>0</v>
      </c>
      <c r="P26">
        <f t="shared" si="9"/>
        <v>0</v>
      </c>
      <c r="Q26">
        <f>P26*Constants!$B$3</f>
        <v>0</v>
      </c>
      <c r="R26">
        <f t="shared" si="10"/>
        <v>0</v>
      </c>
      <c r="S26">
        <f t="shared" si="11"/>
        <v>8.1999999999999993</v>
      </c>
      <c r="T26">
        <f>S26*Constants!$B$2</f>
        <v>22.959999999999997</v>
      </c>
      <c r="V26">
        <f t="shared" si="12"/>
        <v>0</v>
      </c>
      <c r="W26">
        <f t="shared" si="13"/>
        <v>0</v>
      </c>
      <c r="AA26" s="8"/>
      <c r="AJ26" s="4"/>
    </row>
    <row r="27" spans="1:36" x14ac:dyDescent="0.25">
      <c r="A27">
        <v>26</v>
      </c>
      <c r="B27">
        <v>7</v>
      </c>
      <c r="C27" t="s">
        <v>49</v>
      </c>
      <c r="D27" s="16" t="s">
        <v>809</v>
      </c>
      <c r="F27">
        <v>24.58</v>
      </c>
      <c r="G27">
        <v>270</v>
      </c>
      <c r="H27">
        <v>3.6</v>
      </c>
      <c r="I27">
        <v>23</v>
      </c>
      <c r="L27">
        <f>Constants!$B$2</f>
        <v>2.8</v>
      </c>
      <c r="M27">
        <f t="shared" si="8"/>
        <v>270</v>
      </c>
      <c r="N27">
        <f>P27*Constants!$E$2</f>
        <v>6.12</v>
      </c>
      <c r="P27">
        <f t="shared" si="9"/>
        <v>3.6</v>
      </c>
      <c r="Q27">
        <f>P27*Constants!$B$3</f>
        <v>15.119999999999997</v>
      </c>
      <c r="R27">
        <f t="shared" si="10"/>
        <v>8.9999999999999964</v>
      </c>
      <c r="S27">
        <f t="shared" si="11"/>
        <v>19.399999999999999</v>
      </c>
      <c r="T27">
        <f>S27*Constants!$B$2</f>
        <v>54.319999999999993</v>
      </c>
      <c r="V27">
        <f t="shared" si="12"/>
        <v>0</v>
      </c>
      <c r="W27">
        <f t="shared" si="13"/>
        <v>0</v>
      </c>
      <c r="AA27" s="8"/>
      <c r="AJ27" s="4"/>
    </row>
    <row r="28" spans="1:36" x14ac:dyDescent="0.25">
      <c r="A28">
        <v>27</v>
      </c>
      <c r="B28">
        <v>7</v>
      </c>
      <c r="C28" t="s">
        <v>57</v>
      </c>
      <c r="D28" s="16" t="s">
        <v>810</v>
      </c>
      <c r="E28" s="16" t="s">
        <v>809</v>
      </c>
      <c r="F28">
        <f>1.2*2.9</f>
        <v>3.48</v>
      </c>
      <c r="G28" t="s">
        <v>44</v>
      </c>
      <c r="H28">
        <v>0</v>
      </c>
      <c r="I28">
        <f>2*(1.2+2.9)</f>
        <v>8.1999999999999993</v>
      </c>
      <c r="L28">
        <f>Constants!$B$2</f>
        <v>2.8</v>
      </c>
      <c r="M28" t="str">
        <f t="shared" si="8"/>
        <v>N/A</v>
      </c>
      <c r="N28">
        <f>P28*Constants!$E$2</f>
        <v>0</v>
      </c>
      <c r="P28">
        <f t="shared" si="9"/>
        <v>0</v>
      </c>
      <c r="Q28">
        <f>P28*Constants!$B$3</f>
        <v>0</v>
      </c>
      <c r="R28">
        <f t="shared" si="10"/>
        <v>0</v>
      </c>
      <c r="S28">
        <f t="shared" si="11"/>
        <v>8.1999999999999993</v>
      </c>
      <c r="T28">
        <f>S28*Constants!$B$2</f>
        <v>22.959999999999997</v>
      </c>
      <c r="V28">
        <f t="shared" si="12"/>
        <v>0</v>
      </c>
      <c r="W28">
        <f t="shared" si="13"/>
        <v>0</v>
      </c>
      <c r="AA28" s="8"/>
      <c r="AJ28" s="4"/>
    </row>
    <row r="29" spans="1:36" x14ac:dyDescent="0.25">
      <c r="A29">
        <v>28</v>
      </c>
      <c r="B29">
        <v>7</v>
      </c>
      <c r="C29" t="s">
        <v>49</v>
      </c>
      <c r="D29" s="16" t="s">
        <v>811</v>
      </c>
      <c r="F29">
        <v>38.54</v>
      </c>
      <c r="G29">
        <v>270</v>
      </c>
      <c r="H29">
        <v>6</v>
      </c>
      <c r="I29">
        <f>1.2*(5+6.5)*2</f>
        <v>27.599999999999998</v>
      </c>
      <c r="L29">
        <f>Constants!$B$2</f>
        <v>2.8</v>
      </c>
      <c r="M29">
        <f t="shared" si="8"/>
        <v>270</v>
      </c>
      <c r="N29">
        <f>P29*Constants!$E$2</f>
        <v>10.199999999999999</v>
      </c>
      <c r="P29">
        <f t="shared" si="9"/>
        <v>6</v>
      </c>
      <c r="Q29">
        <f>P29*Constants!$B$3</f>
        <v>25.199999999999996</v>
      </c>
      <c r="R29">
        <f t="shared" si="10"/>
        <v>14.999999999999996</v>
      </c>
      <c r="S29">
        <f t="shared" si="11"/>
        <v>21.599999999999998</v>
      </c>
      <c r="T29">
        <f>S29*Constants!$B$2</f>
        <v>60.47999999999999</v>
      </c>
      <c r="V29">
        <f t="shared" si="12"/>
        <v>0</v>
      </c>
      <c r="W29">
        <f t="shared" si="13"/>
        <v>0</v>
      </c>
      <c r="AA29" s="8"/>
      <c r="AJ29" s="4"/>
    </row>
    <row r="30" spans="1:36" x14ac:dyDescent="0.25">
      <c r="A30">
        <v>29</v>
      </c>
      <c r="B30">
        <v>7</v>
      </c>
      <c r="C30" t="s">
        <v>57</v>
      </c>
      <c r="D30" s="16" t="s">
        <v>812</v>
      </c>
      <c r="E30" s="16" t="s">
        <v>811</v>
      </c>
      <c r="F30">
        <f>1.2*2.9</f>
        <v>3.48</v>
      </c>
      <c r="G30" t="s">
        <v>44</v>
      </c>
      <c r="H30">
        <v>0</v>
      </c>
      <c r="I30">
        <f>2*(1.2+2.9)</f>
        <v>8.1999999999999993</v>
      </c>
      <c r="L30">
        <f>Constants!$B$2</f>
        <v>2.8</v>
      </c>
      <c r="M30" t="str">
        <f t="shared" si="8"/>
        <v>N/A</v>
      </c>
      <c r="N30">
        <f>P30*Constants!$E$2</f>
        <v>0</v>
      </c>
      <c r="P30">
        <f t="shared" si="9"/>
        <v>0</v>
      </c>
      <c r="Q30">
        <f>P30*Constants!$B$3</f>
        <v>0</v>
      </c>
      <c r="R30">
        <f t="shared" si="10"/>
        <v>0</v>
      </c>
      <c r="S30">
        <f t="shared" si="11"/>
        <v>8.1999999999999993</v>
      </c>
      <c r="T30">
        <f>S30*Constants!$B$2</f>
        <v>22.959999999999997</v>
      </c>
      <c r="V30">
        <f t="shared" si="12"/>
        <v>0</v>
      </c>
      <c r="W30">
        <f t="shared" si="13"/>
        <v>0</v>
      </c>
      <c r="AA30" s="8"/>
      <c r="AJ30" s="4"/>
    </row>
    <row r="31" spans="1:36" x14ac:dyDescent="0.25">
      <c r="A31">
        <v>30</v>
      </c>
      <c r="B31">
        <v>7</v>
      </c>
      <c r="C31" t="s">
        <v>66</v>
      </c>
      <c r="D31" s="16" t="s">
        <v>813</v>
      </c>
      <c r="F31">
        <v>7.76</v>
      </c>
      <c r="G31" t="s">
        <v>44</v>
      </c>
      <c r="H31">
        <v>0</v>
      </c>
      <c r="I31">
        <f>2*(3.7+2.4)</f>
        <v>12.2</v>
      </c>
      <c r="L31">
        <f>Constants!$B$2</f>
        <v>2.8</v>
      </c>
      <c r="M31" t="str">
        <f t="shared" si="8"/>
        <v>N/A</v>
      </c>
      <c r="N31">
        <f>P31*Constants!$E$2</f>
        <v>0</v>
      </c>
      <c r="P31">
        <f t="shared" si="9"/>
        <v>0</v>
      </c>
      <c r="Q31">
        <f>P31*Constants!$B$3</f>
        <v>0</v>
      </c>
      <c r="R31">
        <f t="shared" si="10"/>
        <v>0</v>
      </c>
      <c r="S31">
        <f t="shared" si="11"/>
        <v>12.2</v>
      </c>
      <c r="T31">
        <f>S31*Constants!$B$2</f>
        <v>34.159999999999997</v>
      </c>
      <c r="V31">
        <f t="shared" si="12"/>
        <v>0</v>
      </c>
      <c r="W31">
        <f t="shared" si="13"/>
        <v>0</v>
      </c>
      <c r="AA31" s="8"/>
      <c r="AJ31" s="4"/>
    </row>
    <row r="32" spans="1:36" x14ac:dyDescent="0.25">
      <c r="A32">
        <v>31</v>
      </c>
      <c r="B32">
        <v>7</v>
      </c>
      <c r="C32" t="s">
        <v>49</v>
      </c>
      <c r="D32" s="16" t="s">
        <v>814</v>
      </c>
      <c r="E32" s="16"/>
      <c r="F32">
        <v>38.54</v>
      </c>
      <c r="G32">
        <v>270</v>
      </c>
      <c r="H32">
        <v>6</v>
      </c>
      <c r="I32">
        <f>1.2*(5+6.5)*2</f>
        <v>27.599999999999998</v>
      </c>
      <c r="L32">
        <f>Constants!$B$2</f>
        <v>2.8</v>
      </c>
      <c r="M32">
        <f t="shared" si="8"/>
        <v>270</v>
      </c>
      <c r="N32">
        <f>P32*Constants!$E$2</f>
        <v>10.199999999999999</v>
      </c>
      <c r="P32">
        <f t="shared" si="9"/>
        <v>6</v>
      </c>
      <c r="Q32">
        <f>P32*Constants!$B$3</f>
        <v>25.199999999999996</v>
      </c>
      <c r="R32">
        <f t="shared" si="10"/>
        <v>14.999999999999996</v>
      </c>
      <c r="S32">
        <f t="shared" si="11"/>
        <v>21.599999999999998</v>
      </c>
      <c r="T32">
        <f>S32*Constants!$B$2</f>
        <v>60.47999999999999</v>
      </c>
      <c r="V32">
        <f t="shared" si="12"/>
        <v>0</v>
      </c>
      <c r="W32">
        <f t="shared" si="13"/>
        <v>0</v>
      </c>
      <c r="AA32" s="8"/>
      <c r="AJ32" s="4"/>
    </row>
    <row r="33" spans="1:36" x14ac:dyDescent="0.25">
      <c r="A33">
        <v>32</v>
      </c>
      <c r="B33">
        <v>7</v>
      </c>
      <c r="C33" t="s">
        <v>57</v>
      </c>
      <c r="D33" s="16" t="s">
        <v>815</v>
      </c>
      <c r="E33" s="16" t="s">
        <v>814</v>
      </c>
      <c r="F33">
        <f>1.2*2.9</f>
        <v>3.48</v>
      </c>
      <c r="G33" t="s">
        <v>44</v>
      </c>
      <c r="H33">
        <v>0</v>
      </c>
      <c r="I33">
        <f>2*(1.2+2.9)</f>
        <v>8.1999999999999993</v>
      </c>
      <c r="L33">
        <f>Constants!$B$2</f>
        <v>2.8</v>
      </c>
      <c r="M33" t="str">
        <f t="shared" si="8"/>
        <v>N/A</v>
      </c>
      <c r="N33">
        <f>P33*Constants!$E$2</f>
        <v>0</v>
      </c>
      <c r="P33">
        <f t="shared" si="9"/>
        <v>0</v>
      </c>
      <c r="Q33">
        <f>P33*Constants!$B$3</f>
        <v>0</v>
      </c>
      <c r="R33">
        <f t="shared" si="10"/>
        <v>0</v>
      </c>
      <c r="S33">
        <f t="shared" si="11"/>
        <v>8.1999999999999993</v>
      </c>
      <c r="T33">
        <f>S33*Constants!$B$2</f>
        <v>22.959999999999997</v>
      </c>
      <c r="V33">
        <f t="shared" si="12"/>
        <v>0</v>
      </c>
      <c r="W33">
        <f t="shared" si="13"/>
        <v>0</v>
      </c>
      <c r="AA33" s="8"/>
      <c r="AJ33" s="4"/>
    </row>
    <row r="34" spans="1:36" x14ac:dyDescent="0.25">
      <c r="A34">
        <v>33</v>
      </c>
      <c r="B34">
        <v>7</v>
      </c>
      <c r="C34" t="s">
        <v>49</v>
      </c>
      <c r="D34" s="16" t="s">
        <v>816</v>
      </c>
      <c r="F34">
        <v>24.58</v>
      </c>
      <c r="G34">
        <v>270</v>
      </c>
      <c r="H34">
        <v>3.6</v>
      </c>
      <c r="I34">
        <v>23</v>
      </c>
      <c r="L34">
        <f>Constants!$B$2</f>
        <v>2.8</v>
      </c>
      <c r="M34">
        <f t="shared" si="8"/>
        <v>270</v>
      </c>
      <c r="N34">
        <f>P34*Constants!$E$2</f>
        <v>6.12</v>
      </c>
      <c r="P34">
        <f t="shared" si="9"/>
        <v>3.6</v>
      </c>
      <c r="Q34">
        <f>P34*Constants!$B$3</f>
        <v>15.119999999999997</v>
      </c>
      <c r="R34">
        <f t="shared" si="10"/>
        <v>8.9999999999999964</v>
      </c>
      <c r="S34">
        <f t="shared" si="11"/>
        <v>19.399999999999999</v>
      </c>
      <c r="T34">
        <f>S34*Constants!$B$2</f>
        <v>54.319999999999993</v>
      </c>
      <c r="V34">
        <f t="shared" si="12"/>
        <v>0</v>
      </c>
      <c r="W34">
        <f t="shared" si="13"/>
        <v>0</v>
      </c>
      <c r="AA34" s="8"/>
      <c r="AJ34" s="4"/>
    </row>
    <row r="35" spans="1:36" x14ac:dyDescent="0.25">
      <c r="A35">
        <v>34</v>
      </c>
      <c r="B35">
        <v>7</v>
      </c>
      <c r="C35" t="s">
        <v>57</v>
      </c>
      <c r="D35" s="16" t="s">
        <v>817</v>
      </c>
      <c r="E35" s="16" t="s">
        <v>816</v>
      </c>
      <c r="F35">
        <f>1.2*2.9</f>
        <v>3.48</v>
      </c>
      <c r="G35" t="s">
        <v>44</v>
      </c>
      <c r="H35">
        <v>0</v>
      </c>
      <c r="I35">
        <f>2*(1.2+2.9)</f>
        <v>8.1999999999999993</v>
      </c>
      <c r="L35">
        <f>Constants!$B$2</f>
        <v>2.8</v>
      </c>
      <c r="M35" t="str">
        <f t="shared" si="8"/>
        <v>N/A</v>
      </c>
      <c r="N35">
        <f>P35*Constants!$E$2</f>
        <v>0</v>
      </c>
      <c r="P35">
        <f t="shared" si="9"/>
        <v>0</v>
      </c>
      <c r="Q35">
        <f>P35*Constants!$B$3</f>
        <v>0</v>
      </c>
      <c r="R35">
        <f t="shared" si="10"/>
        <v>0</v>
      </c>
      <c r="S35">
        <f t="shared" si="11"/>
        <v>8.1999999999999993</v>
      </c>
      <c r="T35">
        <f>S35*Constants!$B$2</f>
        <v>22.959999999999997</v>
      </c>
      <c r="V35">
        <f t="shared" si="12"/>
        <v>0</v>
      </c>
      <c r="W35">
        <f t="shared" si="13"/>
        <v>0</v>
      </c>
      <c r="AA35" s="8"/>
      <c r="AJ35" s="4"/>
    </row>
    <row r="36" spans="1:36" x14ac:dyDescent="0.25">
      <c r="A36">
        <v>35</v>
      </c>
      <c r="B36">
        <v>7</v>
      </c>
      <c r="C36" t="s">
        <v>49</v>
      </c>
      <c r="D36" s="16" t="s">
        <v>818</v>
      </c>
      <c r="F36">
        <v>24.58</v>
      </c>
      <c r="G36">
        <v>270</v>
      </c>
      <c r="H36">
        <v>3.6</v>
      </c>
      <c r="I36">
        <v>23</v>
      </c>
      <c r="L36">
        <f>Constants!$B$2</f>
        <v>2.8</v>
      </c>
      <c r="M36">
        <f t="shared" si="8"/>
        <v>270</v>
      </c>
      <c r="N36">
        <f>P36*Constants!$E$2</f>
        <v>6.12</v>
      </c>
      <c r="P36">
        <f t="shared" si="9"/>
        <v>3.6</v>
      </c>
      <c r="Q36">
        <f>P36*Constants!$B$3</f>
        <v>15.119999999999997</v>
      </c>
      <c r="R36">
        <f t="shared" si="10"/>
        <v>8.9999999999999964</v>
      </c>
      <c r="S36">
        <f t="shared" si="11"/>
        <v>19.399999999999999</v>
      </c>
      <c r="T36">
        <f>S36*Constants!$B$2</f>
        <v>54.319999999999993</v>
      </c>
      <c r="V36">
        <f t="shared" si="12"/>
        <v>0</v>
      </c>
      <c r="W36">
        <f t="shared" si="13"/>
        <v>0</v>
      </c>
      <c r="AA36" s="8"/>
      <c r="AJ36" s="4"/>
    </row>
    <row r="37" spans="1:36" x14ac:dyDescent="0.25">
      <c r="A37">
        <v>36</v>
      </c>
      <c r="B37">
        <v>7</v>
      </c>
      <c r="C37" t="s">
        <v>57</v>
      </c>
      <c r="D37" s="16" t="s">
        <v>819</v>
      </c>
      <c r="E37" s="16" t="s">
        <v>818</v>
      </c>
      <c r="F37">
        <f>1.2*2.9</f>
        <v>3.48</v>
      </c>
      <c r="G37" t="s">
        <v>44</v>
      </c>
      <c r="H37">
        <v>0</v>
      </c>
      <c r="I37">
        <f>2*(1.2+2.9)</f>
        <v>8.1999999999999993</v>
      </c>
      <c r="L37">
        <f>Constants!$B$2</f>
        <v>2.8</v>
      </c>
      <c r="M37" t="str">
        <f t="shared" si="8"/>
        <v>N/A</v>
      </c>
      <c r="N37">
        <f>P37*Constants!$E$2</f>
        <v>0</v>
      </c>
      <c r="P37">
        <f t="shared" si="9"/>
        <v>0</v>
      </c>
      <c r="Q37">
        <f>P37*Constants!$B$3</f>
        <v>0</v>
      </c>
      <c r="R37">
        <f t="shared" si="10"/>
        <v>0</v>
      </c>
      <c r="S37">
        <f t="shared" si="11"/>
        <v>8.1999999999999993</v>
      </c>
      <c r="T37">
        <f>S37*Constants!$B$2</f>
        <v>22.959999999999997</v>
      </c>
      <c r="V37">
        <f t="shared" si="12"/>
        <v>0</v>
      </c>
      <c r="W37">
        <f t="shared" si="13"/>
        <v>0</v>
      </c>
      <c r="AA37" s="8"/>
      <c r="AJ37" s="4"/>
    </row>
    <row r="38" spans="1:36" x14ac:dyDescent="0.25">
      <c r="A38">
        <v>37</v>
      </c>
      <c r="B38">
        <v>7</v>
      </c>
      <c r="C38" t="s">
        <v>49</v>
      </c>
      <c r="D38" s="16" t="s">
        <v>820</v>
      </c>
      <c r="F38">
        <v>24.76</v>
      </c>
      <c r="G38">
        <v>270</v>
      </c>
      <c r="H38">
        <v>1.2</v>
      </c>
      <c r="I38">
        <v>23</v>
      </c>
      <c r="L38">
        <f>Constants!$B$2</f>
        <v>2.8</v>
      </c>
      <c r="M38">
        <f t="shared" si="8"/>
        <v>270</v>
      </c>
      <c r="N38">
        <f>P38*Constants!$E$2</f>
        <v>2.04</v>
      </c>
      <c r="P38">
        <f t="shared" si="9"/>
        <v>1.2</v>
      </c>
      <c r="Q38">
        <f>P38*Constants!$B$3</f>
        <v>5.0399999999999991</v>
      </c>
      <c r="R38">
        <f t="shared" si="10"/>
        <v>2.9999999999999991</v>
      </c>
      <c r="S38">
        <f t="shared" si="11"/>
        <v>21.8</v>
      </c>
      <c r="T38">
        <f>S38*Constants!$B$2</f>
        <v>61.04</v>
      </c>
      <c r="V38">
        <f t="shared" si="12"/>
        <v>0</v>
      </c>
      <c r="W38">
        <f t="shared" si="13"/>
        <v>0</v>
      </c>
      <c r="AA38" s="8"/>
      <c r="AJ38" s="4"/>
    </row>
    <row r="39" spans="1:36" x14ac:dyDescent="0.25">
      <c r="A39">
        <v>38</v>
      </c>
      <c r="B39">
        <v>7</v>
      </c>
      <c r="C39" t="s">
        <v>67</v>
      </c>
      <c r="D39" s="16" t="s">
        <v>821</v>
      </c>
      <c r="F39">
        <v>13.25</v>
      </c>
      <c r="G39" t="s">
        <v>44</v>
      </c>
      <c r="H39">
        <v>0</v>
      </c>
      <c r="I39">
        <f>2*(4.8+3.2)</f>
        <v>16</v>
      </c>
      <c r="L39">
        <f>Constants!$B$2</f>
        <v>2.8</v>
      </c>
      <c r="M39" t="str">
        <f t="shared" si="8"/>
        <v>N/A</v>
      </c>
      <c r="N39">
        <f>P39*Constants!$E$2</f>
        <v>0</v>
      </c>
      <c r="P39">
        <f t="shared" si="9"/>
        <v>0</v>
      </c>
      <c r="Q39">
        <f>P39*Constants!$B$3</f>
        <v>0</v>
      </c>
      <c r="R39">
        <f t="shared" si="10"/>
        <v>0</v>
      </c>
      <c r="S39">
        <f t="shared" si="11"/>
        <v>16</v>
      </c>
      <c r="T39">
        <f>S39*Constants!$B$2</f>
        <v>44.8</v>
      </c>
      <c r="V39">
        <f t="shared" si="12"/>
        <v>0</v>
      </c>
      <c r="W39">
        <f t="shared" si="13"/>
        <v>0</v>
      </c>
      <c r="AA39" s="8"/>
      <c r="AJ39" s="4"/>
    </row>
    <row r="40" spans="1:36" x14ac:dyDescent="0.25">
      <c r="A40">
        <v>39</v>
      </c>
      <c r="B40">
        <v>7</v>
      </c>
      <c r="C40" t="s">
        <v>62</v>
      </c>
      <c r="D40" s="16" t="s">
        <v>230</v>
      </c>
      <c r="F40">
        <v>20.76</v>
      </c>
      <c r="G40">
        <v>90</v>
      </c>
      <c r="H40">
        <v>3.2</v>
      </c>
      <c r="I40">
        <f>2*(5.3+3.2)</f>
        <v>17</v>
      </c>
      <c r="L40">
        <f>Constants!$B$2</f>
        <v>2.8</v>
      </c>
      <c r="M40">
        <f t="shared" si="8"/>
        <v>90</v>
      </c>
      <c r="N40">
        <f>P40*Constants!$E$2</f>
        <v>5.44</v>
      </c>
      <c r="P40">
        <f t="shared" si="9"/>
        <v>3.2</v>
      </c>
      <c r="Q40">
        <f>P40*Constants!$B$3</f>
        <v>13.439999999999998</v>
      </c>
      <c r="R40">
        <f t="shared" si="10"/>
        <v>7.9999999999999973</v>
      </c>
      <c r="S40">
        <f t="shared" si="11"/>
        <v>13.8</v>
      </c>
      <c r="T40">
        <f>S40*Constants!$B$2</f>
        <v>38.64</v>
      </c>
      <c r="V40">
        <f t="shared" si="12"/>
        <v>0</v>
      </c>
      <c r="W40">
        <f t="shared" si="13"/>
        <v>0</v>
      </c>
      <c r="AA40" s="8"/>
      <c r="AJ40" s="4"/>
    </row>
    <row r="41" spans="1:36" x14ac:dyDescent="0.25">
      <c r="D41" s="15"/>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4"/>
    </row>
    <row r="452" spans="4:4" x14ac:dyDescent="0.25">
      <c r="D452" s="14"/>
    </row>
    <row r="453" spans="4:4" x14ac:dyDescent="0.25">
      <c r="D453" s="13"/>
    </row>
    <row r="454" spans="4:4" x14ac:dyDescent="0.25">
      <c r="D454" s="13"/>
    </row>
    <row r="455" spans="4:4" x14ac:dyDescent="0.25">
      <c r="D455" s="13"/>
    </row>
    <row r="456" spans="4:4" x14ac:dyDescent="0.25">
      <c r="D456" s="13"/>
    </row>
    <row r="457" spans="4:4" x14ac:dyDescent="0.25">
      <c r="D457" s="13"/>
    </row>
    <row r="458" spans="4:4" x14ac:dyDescent="0.25">
      <c r="D458" s="13"/>
    </row>
    <row r="459" spans="4:4" x14ac:dyDescent="0.25">
      <c r="D459" s="13"/>
    </row>
    <row r="460" spans="4:4" x14ac:dyDescent="0.25">
      <c r="D460" s="13"/>
    </row>
  </sheetData>
  <pageMargins left="0.7" right="0.7" top="0.78740157499999996" bottom="0.78740157499999996"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0"/>
  <sheetViews>
    <sheetView zoomScaleNormal="100" workbookViewId="0">
      <pane xSplit="4" ySplit="1" topLeftCell="H17" activePane="bottomRight" state="frozen"/>
      <selection pane="topRight" activeCell="F1" sqref="F1"/>
      <selection pane="bottomLeft" activeCell="A2" sqref="A2"/>
      <selection pane="bottomRight" activeCell="I4" sqref="I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71</v>
      </c>
      <c r="D2" s="16" t="s">
        <v>233</v>
      </c>
      <c r="F2">
        <v>18.97</v>
      </c>
      <c r="G2" t="s">
        <v>44</v>
      </c>
      <c r="H2">
        <v>0</v>
      </c>
      <c r="I2">
        <f>1.2*(4+3.5)*2</f>
        <v>18</v>
      </c>
      <c r="L2">
        <f>Constants!$B$2</f>
        <v>2.8</v>
      </c>
      <c r="M2" t="str">
        <f t="shared" ref="M2:M40" si="0">IF(N2&gt;0,G2,"N/A")</f>
        <v>N/A</v>
      </c>
      <c r="N2">
        <f>P2*Constants!$E$2</f>
        <v>0</v>
      </c>
      <c r="P2">
        <f>H2</f>
        <v>0</v>
      </c>
      <c r="Q2">
        <f>P2*Constants!$B$3</f>
        <v>0</v>
      </c>
      <c r="R2">
        <f>IF(Q2-N2&lt;=0, 0, Q2-N2)</f>
        <v>0</v>
      </c>
      <c r="S2">
        <f>I2-P2</f>
        <v>18</v>
      </c>
      <c r="T2">
        <f>S2*Constants!$B$2</f>
        <v>50.4</v>
      </c>
      <c r="V2">
        <f>IF(B2="E",1,0)</f>
        <v>0</v>
      </c>
      <c r="W2">
        <f>IF(B2=10,1,0)</f>
        <v>0</v>
      </c>
      <c r="AA2" s="8"/>
      <c r="AJ2" s="4"/>
    </row>
    <row r="3" spans="1:40" x14ac:dyDescent="0.25">
      <c r="A3">
        <v>2</v>
      </c>
      <c r="B3">
        <v>7</v>
      </c>
      <c r="C3" s="17" t="s">
        <v>49</v>
      </c>
      <c r="D3" s="16" t="s">
        <v>234</v>
      </c>
      <c r="F3">
        <v>25.47</v>
      </c>
      <c r="G3">
        <v>90</v>
      </c>
      <c r="H3">
        <v>3</v>
      </c>
      <c r="I3">
        <f>21.66</f>
        <v>21.66</v>
      </c>
      <c r="L3">
        <f>Constants!$B$2</f>
        <v>2.8</v>
      </c>
      <c r="M3">
        <f t="shared" si="0"/>
        <v>90</v>
      </c>
      <c r="N3">
        <f>P3*Constants!$E$2</f>
        <v>5.0999999999999996</v>
      </c>
      <c r="P3">
        <f t="shared" ref="P3:P40" si="1">H3</f>
        <v>3</v>
      </c>
      <c r="Q3">
        <f>P3*Constants!$B$3</f>
        <v>12.599999999999998</v>
      </c>
      <c r="R3">
        <f t="shared" ref="R3:R40" si="2">IF(Q3-N3&lt;=0, 0, Q3-N3)</f>
        <v>7.4999999999999982</v>
      </c>
      <c r="S3">
        <f t="shared" ref="S3:S39" si="3">I3-P3</f>
        <v>18.66</v>
      </c>
      <c r="T3">
        <f>S3*Constants!$B$2</f>
        <v>52.247999999999998</v>
      </c>
      <c r="V3">
        <f t="shared" ref="V3:V40" si="4">IF(B3="E",1,0)</f>
        <v>0</v>
      </c>
      <c r="W3">
        <f t="shared" ref="W3:W40" si="5">IF(B3=10,1,0)</f>
        <v>0</v>
      </c>
      <c r="AA3" s="8"/>
      <c r="AJ3" s="4"/>
    </row>
    <row r="4" spans="1:40" x14ac:dyDescent="0.25">
      <c r="A4">
        <v>3</v>
      </c>
      <c r="B4">
        <v>7</v>
      </c>
      <c r="C4" t="s">
        <v>57</v>
      </c>
      <c r="D4" s="16" t="s">
        <v>235</v>
      </c>
      <c r="E4" s="16" t="s">
        <v>234</v>
      </c>
      <c r="F4">
        <f>1.2*2.9</f>
        <v>3.48</v>
      </c>
      <c r="G4" t="s">
        <v>44</v>
      </c>
      <c r="H4">
        <v>0</v>
      </c>
      <c r="I4">
        <f>2*(1.2+2.9)</f>
        <v>8.1999999999999993</v>
      </c>
      <c r="L4">
        <f>Constants!$B$2</f>
        <v>2.8</v>
      </c>
      <c r="M4" t="str">
        <f t="shared" si="0"/>
        <v>N/A</v>
      </c>
      <c r="N4">
        <f>P4*Constants!$E$2</f>
        <v>0</v>
      </c>
      <c r="P4">
        <f>H4</f>
        <v>0</v>
      </c>
      <c r="Q4">
        <f>P4*Constants!$B$3</f>
        <v>0</v>
      </c>
      <c r="R4">
        <f>IF(Q4-N4&lt;=0, 0, Q4-N4)</f>
        <v>0</v>
      </c>
      <c r="S4">
        <f>I4-P4</f>
        <v>8.1999999999999993</v>
      </c>
      <c r="T4">
        <f>S4*Constants!$B$2</f>
        <v>22.959999999999997</v>
      </c>
      <c r="V4">
        <f>IF(B4="E",1,0)</f>
        <v>0</v>
      </c>
      <c r="W4">
        <f>IF(B4=10,1,0)</f>
        <v>0</v>
      </c>
      <c r="AA4" s="8"/>
      <c r="AJ4" s="4"/>
    </row>
    <row r="5" spans="1:40" x14ac:dyDescent="0.25">
      <c r="A5">
        <v>4</v>
      </c>
      <c r="B5">
        <v>7</v>
      </c>
      <c r="C5" t="s">
        <v>49</v>
      </c>
      <c r="D5" s="16" t="s">
        <v>236</v>
      </c>
      <c r="F5">
        <v>25.3</v>
      </c>
      <c r="G5">
        <v>90</v>
      </c>
      <c r="H5">
        <v>3</v>
      </c>
      <c r="I5">
        <f t="shared" ref="I5:I7" si="6">21.66</f>
        <v>21.66</v>
      </c>
      <c r="L5">
        <f>Constants!$B$2</f>
        <v>2.8</v>
      </c>
      <c r="M5">
        <f t="shared" si="0"/>
        <v>90</v>
      </c>
      <c r="N5">
        <f>P5*Constants!$E$2</f>
        <v>5.0999999999999996</v>
      </c>
      <c r="P5">
        <f t="shared" si="1"/>
        <v>3</v>
      </c>
      <c r="Q5">
        <f>P5*Constants!$B$3</f>
        <v>12.599999999999998</v>
      </c>
      <c r="R5">
        <f t="shared" si="2"/>
        <v>7.4999999999999982</v>
      </c>
      <c r="S5">
        <f t="shared" si="3"/>
        <v>18.66</v>
      </c>
      <c r="T5">
        <f>S5*Constants!$B$2</f>
        <v>52.247999999999998</v>
      </c>
      <c r="V5">
        <f t="shared" si="4"/>
        <v>0</v>
      </c>
      <c r="W5">
        <f t="shared" si="5"/>
        <v>0</v>
      </c>
      <c r="AA5" s="8"/>
      <c r="AJ5" s="4"/>
    </row>
    <row r="6" spans="1:40" x14ac:dyDescent="0.25">
      <c r="A6">
        <v>5</v>
      </c>
      <c r="B6">
        <v>7</v>
      </c>
      <c r="C6" t="s">
        <v>57</v>
      </c>
      <c r="D6" s="16" t="s">
        <v>237</v>
      </c>
      <c r="E6" s="16" t="s">
        <v>236</v>
      </c>
      <c r="F6">
        <f>1.2*2.9</f>
        <v>3.48</v>
      </c>
      <c r="G6" t="s">
        <v>44</v>
      </c>
      <c r="H6">
        <v>0</v>
      </c>
      <c r="I6">
        <f>2*(1.2+2.9)</f>
        <v>8.1999999999999993</v>
      </c>
      <c r="L6">
        <f>Constants!$B$2</f>
        <v>2.8</v>
      </c>
      <c r="M6" t="str">
        <f t="shared" si="0"/>
        <v>N/A</v>
      </c>
      <c r="N6">
        <f>P6*Constants!$E$2</f>
        <v>0</v>
      </c>
      <c r="P6">
        <f>H6</f>
        <v>0</v>
      </c>
      <c r="Q6">
        <f>P6*Constants!$B$3</f>
        <v>0</v>
      </c>
      <c r="R6">
        <f>IF(Q6-N6&lt;=0, 0, Q6-N6)</f>
        <v>0</v>
      </c>
      <c r="S6">
        <f>I6-P6</f>
        <v>8.1999999999999993</v>
      </c>
      <c r="T6">
        <f>S6*Constants!$B$2</f>
        <v>22.959999999999997</v>
      </c>
      <c r="V6">
        <f>IF(B6="E",1,0)</f>
        <v>0</v>
      </c>
      <c r="W6">
        <f>IF(B6=10,1,0)</f>
        <v>0</v>
      </c>
      <c r="AA6" s="8"/>
      <c r="AJ6" s="4"/>
    </row>
    <row r="7" spans="1:40" x14ac:dyDescent="0.25">
      <c r="A7">
        <v>6</v>
      </c>
      <c r="B7">
        <v>7</v>
      </c>
      <c r="C7" t="s">
        <v>49</v>
      </c>
      <c r="D7" s="16" t="s">
        <v>238</v>
      </c>
      <c r="F7">
        <v>25.3</v>
      </c>
      <c r="G7">
        <v>90</v>
      </c>
      <c r="H7">
        <v>3</v>
      </c>
      <c r="I7">
        <f t="shared" si="6"/>
        <v>21.66</v>
      </c>
      <c r="L7">
        <f>Constants!$B$2</f>
        <v>2.8</v>
      </c>
      <c r="M7">
        <f t="shared" si="0"/>
        <v>90</v>
      </c>
      <c r="N7">
        <f>P7*Constants!$E$2</f>
        <v>5.0999999999999996</v>
      </c>
      <c r="P7">
        <f t="shared" si="1"/>
        <v>3</v>
      </c>
      <c r="Q7">
        <f>P7*Constants!$B$3</f>
        <v>12.599999999999998</v>
      </c>
      <c r="R7">
        <f t="shared" si="2"/>
        <v>7.4999999999999982</v>
      </c>
      <c r="S7">
        <f t="shared" si="3"/>
        <v>18.66</v>
      </c>
      <c r="T7">
        <f>S7*Constants!$B$2</f>
        <v>52.247999999999998</v>
      </c>
      <c r="V7">
        <f t="shared" si="4"/>
        <v>0</v>
      </c>
      <c r="W7">
        <f t="shared" si="5"/>
        <v>0</v>
      </c>
      <c r="AA7" s="8"/>
      <c r="AJ7" s="4"/>
    </row>
    <row r="8" spans="1:40" x14ac:dyDescent="0.25">
      <c r="A8">
        <v>7</v>
      </c>
      <c r="B8">
        <v>7</v>
      </c>
      <c r="C8" t="s">
        <v>57</v>
      </c>
      <c r="D8" s="16" t="s">
        <v>239</v>
      </c>
      <c r="E8" s="16" t="s">
        <v>238</v>
      </c>
      <c r="F8">
        <f>1.2*2.9</f>
        <v>3.48</v>
      </c>
      <c r="G8" t="s">
        <v>44</v>
      </c>
      <c r="H8">
        <v>0</v>
      </c>
      <c r="I8">
        <f>2*(1.2+2.9)</f>
        <v>8.1999999999999993</v>
      </c>
      <c r="L8">
        <f>Constants!$B$2</f>
        <v>2.8</v>
      </c>
      <c r="M8" t="str">
        <f t="shared" si="0"/>
        <v>N/A</v>
      </c>
      <c r="N8">
        <f>P8*Constants!$E$2</f>
        <v>0</v>
      </c>
      <c r="P8">
        <f>H8</f>
        <v>0</v>
      </c>
      <c r="Q8">
        <f>P8*Constants!$B$3</f>
        <v>0</v>
      </c>
      <c r="R8">
        <f>IF(Q8-N8&lt;=0, 0, Q8-N8)</f>
        <v>0</v>
      </c>
      <c r="S8">
        <f>I8-P8</f>
        <v>8.1999999999999993</v>
      </c>
      <c r="T8">
        <f>S8*Constants!$B$2</f>
        <v>22.959999999999997</v>
      </c>
      <c r="V8">
        <f>IF(B8="E",1,0)</f>
        <v>0</v>
      </c>
      <c r="W8">
        <f>IF(B8=10,1,0)</f>
        <v>0</v>
      </c>
      <c r="AA8" s="8"/>
      <c r="AJ8" s="4"/>
    </row>
    <row r="9" spans="1:40" x14ac:dyDescent="0.25">
      <c r="A9">
        <v>8</v>
      </c>
      <c r="B9">
        <v>7</v>
      </c>
      <c r="C9" t="s">
        <v>62</v>
      </c>
      <c r="D9" s="16" t="s">
        <v>240</v>
      </c>
      <c r="F9">
        <v>95.77</v>
      </c>
      <c r="G9" t="s">
        <v>44</v>
      </c>
      <c r="H9">
        <v>0</v>
      </c>
      <c r="I9">
        <v>93.59</v>
      </c>
      <c r="L9">
        <f>Constants!$B$2</f>
        <v>2.8</v>
      </c>
      <c r="M9" t="str">
        <f t="shared" si="0"/>
        <v>N/A</v>
      </c>
      <c r="N9">
        <f>P9*Constants!$E$2</f>
        <v>0</v>
      </c>
      <c r="P9">
        <f t="shared" si="1"/>
        <v>0</v>
      </c>
      <c r="Q9">
        <f>P9*Constants!$B$3</f>
        <v>0</v>
      </c>
      <c r="R9">
        <f t="shared" si="2"/>
        <v>0</v>
      </c>
      <c r="S9">
        <f t="shared" si="3"/>
        <v>93.59</v>
      </c>
      <c r="T9">
        <f>S9*Constants!$B$2</f>
        <v>262.05200000000002</v>
      </c>
      <c r="V9">
        <f t="shared" si="4"/>
        <v>0</v>
      </c>
      <c r="W9">
        <f t="shared" si="5"/>
        <v>0</v>
      </c>
      <c r="AA9" s="8"/>
      <c r="AJ9" s="4"/>
    </row>
    <row r="10" spans="1:40" x14ac:dyDescent="0.25">
      <c r="A10">
        <v>9</v>
      </c>
      <c r="B10">
        <v>7</v>
      </c>
      <c r="C10" t="s">
        <v>54</v>
      </c>
      <c r="D10" s="16" t="s">
        <v>241</v>
      </c>
      <c r="F10">
        <v>26.55</v>
      </c>
      <c r="G10">
        <v>90</v>
      </c>
      <c r="H10">
        <v>3.6</v>
      </c>
      <c r="I10">
        <f>1.2*(3+6.5)*2</f>
        <v>22.8</v>
      </c>
      <c r="L10">
        <f>Constants!$B$2</f>
        <v>2.8</v>
      </c>
      <c r="M10">
        <f t="shared" si="0"/>
        <v>90</v>
      </c>
      <c r="N10">
        <f>P10*Constants!$E$2</f>
        <v>6.12</v>
      </c>
      <c r="P10">
        <f t="shared" si="1"/>
        <v>3.6</v>
      </c>
      <c r="Q10">
        <f>P10*Constants!$B$3</f>
        <v>15.119999999999997</v>
      </c>
      <c r="R10">
        <f t="shared" si="2"/>
        <v>8.9999999999999964</v>
      </c>
      <c r="S10">
        <f t="shared" si="3"/>
        <v>19.2</v>
      </c>
      <c r="T10">
        <f>S10*Constants!$B$2</f>
        <v>53.76</v>
      </c>
      <c r="V10">
        <f t="shared" si="4"/>
        <v>0</v>
      </c>
      <c r="W10">
        <f t="shared" si="5"/>
        <v>0</v>
      </c>
      <c r="AA10" s="8"/>
      <c r="AJ10" s="4"/>
    </row>
    <row r="11" spans="1:40" x14ac:dyDescent="0.25">
      <c r="A11">
        <v>10</v>
      </c>
      <c r="B11">
        <v>7</v>
      </c>
      <c r="C11" t="s">
        <v>45</v>
      </c>
      <c r="D11" s="16" t="s">
        <v>271</v>
      </c>
      <c r="E11" s="16" t="s">
        <v>241</v>
      </c>
      <c r="F11">
        <v>9.09</v>
      </c>
      <c r="G11">
        <v>90</v>
      </c>
      <c r="H11">
        <v>2.4</v>
      </c>
      <c r="I11">
        <f>1.2*(2+3.5)*2</f>
        <v>13.2</v>
      </c>
      <c r="L11">
        <f>Constants!$B$2</f>
        <v>2.8</v>
      </c>
      <c r="M11">
        <f t="shared" si="0"/>
        <v>90</v>
      </c>
      <c r="N11">
        <f>P11*Constants!$E$2</f>
        <v>4.08</v>
      </c>
      <c r="P11">
        <f t="shared" si="1"/>
        <v>2.4</v>
      </c>
      <c r="Q11">
        <f>P11*Constants!$B$3</f>
        <v>10.079999999999998</v>
      </c>
      <c r="R11">
        <f t="shared" si="2"/>
        <v>5.9999999999999982</v>
      </c>
      <c r="S11">
        <f t="shared" si="3"/>
        <v>10.799999999999999</v>
      </c>
      <c r="T11">
        <f>S11*Constants!$B$2</f>
        <v>30.239999999999995</v>
      </c>
      <c r="V11">
        <f t="shared" si="4"/>
        <v>0</v>
      </c>
      <c r="W11">
        <f t="shared" si="5"/>
        <v>0</v>
      </c>
      <c r="AA11" s="8"/>
      <c r="AJ11" s="4"/>
    </row>
    <row r="12" spans="1:40" x14ac:dyDescent="0.25">
      <c r="A12">
        <v>11</v>
      </c>
      <c r="B12">
        <v>7</v>
      </c>
      <c r="C12" t="s">
        <v>66</v>
      </c>
      <c r="D12" s="16" t="s">
        <v>242</v>
      </c>
      <c r="E12" s="16"/>
      <c r="F12">
        <v>11.9</v>
      </c>
      <c r="G12" t="s">
        <v>44</v>
      </c>
      <c r="H12">
        <v>0</v>
      </c>
      <c r="I12">
        <f>2*(3.7+2.4)</f>
        <v>12.2</v>
      </c>
      <c r="L12">
        <f>Constants!$B$2</f>
        <v>2.8</v>
      </c>
      <c r="M12" t="str">
        <f t="shared" si="0"/>
        <v>N/A</v>
      </c>
      <c r="N12">
        <f>P12*Constants!$E$2</f>
        <v>0</v>
      </c>
      <c r="P12">
        <f t="shared" si="1"/>
        <v>0</v>
      </c>
      <c r="Q12">
        <f>P12*Constants!$B$3</f>
        <v>0</v>
      </c>
      <c r="R12">
        <f t="shared" si="2"/>
        <v>0</v>
      </c>
      <c r="S12">
        <f t="shared" si="3"/>
        <v>12.2</v>
      </c>
      <c r="T12">
        <f>S12*Constants!$B$2</f>
        <v>34.159999999999997</v>
      </c>
      <c r="V12">
        <f t="shared" si="4"/>
        <v>0</v>
      </c>
      <c r="W12">
        <f t="shared" si="5"/>
        <v>0</v>
      </c>
      <c r="AA12" s="8"/>
      <c r="AJ12" s="4"/>
    </row>
    <row r="13" spans="1:40" x14ac:dyDescent="0.25">
      <c r="A13">
        <v>12</v>
      </c>
      <c r="B13">
        <v>7</v>
      </c>
      <c r="C13" t="s">
        <v>49</v>
      </c>
      <c r="D13" s="16" t="s">
        <v>243</v>
      </c>
      <c r="F13">
        <v>17.100000000000001</v>
      </c>
      <c r="G13">
        <v>90</v>
      </c>
      <c r="H13">
        <v>3</v>
      </c>
      <c r="I13">
        <f>1.2*2*(2.5+6.5)</f>
        <v>21.599999999999998</v>
      </c>
      <c r="L13">
        <f>Constants!$B$2</f>
        <v>2.8</v>
      </c>
      <c r="M13">
        <f t="shared" si="0"/>
        <v>90</v>
      </c>
      <c r="N13">
        <f>P13*Constants!$E$2</f>
        <v>5.0999999999999996</v>
      </c>
      <c r="P13">
        <f t="shared" si="1"/>
        <v>3</v>
      </c>
      <c r="Q13">
        <f>P13*Constants!$B$3</f>
        <v>12.599999999999998</v>
      </c>
      <c r="R13">
        <f t="shared" si="2"/>
        <v>7.4999999999999982</v>
      </c>
      <c r="S13">
        <f t="shared" si="3"/>
        <v>18.599999999999998</v>
      </c>
      <c r="T13">
        <f>S13*Constants!$B$2</f>
        <v>52.079999999999991</v>
      </c>
      <c r="V13">
        <f t="shared" si="4"/>
        <v>0</v>
      </c>
      <c r="W13">
        <f t="shared" si="5"/>
        <v>0</v>
      </c>
      <c r="AA13" s="8"/>
      <c r="AJ13" s="4"/>
    </row>
    <row r="14" spans="1:40" x14ac:dyDescent="0.25">
      <c r="A14">
        <v>13</v>
      </c>
      <c r="B14">
        <v>7</v>
      </c>
      <c r="C14" t="s">
        <v>49</v>
      </c>
      <c r="D14" s="16" t="s">
        <v>244</v>
      </c>
      <c r="F14">
        <v>21.11</v>
      </c>
      <c r="G14">
        <v>90</v>
      </c>
      <c r="H14">
        <v>3</v>
      </c>
      <c r="I14">
        <f>1.2*2*(2.5+6.5)</f>
        <v>21.599999999999998</v>
      </c>
      <c r="L14">
        <f>Constants!$B$2</f>
        <v>2.8</v>
      </c>
      <c r="M14">
        <f t="shared" si="0"/>
        <v>90</v>
      </c>
      <c r="N14">
        <f>P14*Constants!$E$2</f>
        <v>5.0999999999999996</v>
      </c>
      <c r="P14">
        <f t="shared" si="1"/>
        <v>3</v>
      </c>
      <c r="Q14">
        <f>P14*Constants!$B$3</f>
        <v>12.599999999999998</v>
      </c>
      <c r="R14">
        <f t="shared" si="2"/>
        <v>7.4999999999999982</v>
      </c>
      <c r="S14">
        <f t="shared" si="3"/>
        <v>18.599999999999998</v>
      </c>
      <c r="T14">
        <f>S14*Constants!$B$2</f>
        <v>52.079999999999991</v>
      </c>
      <c r="V14">
        <f t="shared" si="4"/>
        <v>0</v>
      </c>
      <c r="W14">
        <f t="shared" si="5"/>
        <v>0</v>
      </c>
      <c r="AA14" s="8"/>
      <c r="AJ14" s="4"/>
    </row>
    <row r="15" spans="1:40" x14ac:dyDescent="0.25">
      <c r="A15">
        <v>14</v>
      </c>
      <c r="B15">
        <v>7</v>
      </c>
      <c r="C15" t="s">
        <v>57</v>
      </c>
      <c r="D15" s="16" t="s">
        <v>245</v>
      </c>
      <c r="E15" s="16" t="s">
        <v>244</v>
      </c>
      <c r="F15">
        <f>1.2*2.9</f>
        <v>3.48</v>
      </c>
      <c r="G15" t="s">
        <v>44</v>
      </c>
      <c r="H15">
        <v>0</v>
      </c>
      <c r="I15">
        <f>2*(1.2+2.9)</f>
        <v>8.1999999999999993</v>
      </c>
      <c r="L15">
        <f>Constants!$B$2</f>
        <v>2.8</v>
      </c>
      <c r="M15" t="str">
        <f t="shared" si="0"/>
        <v>N/A</v>
      </c>
      <c r="N15">
        <f>P15*Constants!$E$2</f>
        <v>0</v>
      </c>
      <c r="P15">
        <f t="shared" si="1"/>
        <v>0</v>
      </c>
      <c r="Q15">
        <f>P15*Constants!$B$3</f>
        <v>0</v>
      </c>
      <c r="R15">
        <f t="shared" si="2"/>
        <v>0</v>
      </c>
      <c r="S15">
        <f t="shared" si="3"/>
        <v>8.1999999999999993</v>
      </c>
      <c r="T15">
        <f>S15*Constants!$B$2</f>
        <v>22.959999999999997</v>
      </c>
      <c r="V15">
        <f t="shared" si="4"/>
        <v>0</v>
      </c>
      <c r="W15">
        <f t="shared" si="5"/>
        <v>0</v>
      </c>
      <c r="AA15" s="8"/>
      <c r="AJ15" s="4"/>
    </row>
    <row r="16" spans="1:40" x14ac:dyDescent="0.25">
      <c r="A16">
        <v>15</v>
      </c>
      <c r="B16">
        <v>7</v>
      </c>
      <c r="C16" t="s">
        <v>49</v>
      </c>
      <c r="D16" s="16" t="s">
        <v>246</v>
      </c>
      <c r="F16">
        <v>25.67</v>
      </c>
      <c r="G16">
        <v>90</v>
      </c>
      <c r="H16">
        <v>3.6</v>
      </c>
      <c r="I16">
        <f>2*(3.6+7.9)</f>
        <v>23</v>
      </c>
      <c r="L16">
        <f>Constants!$B$2</f>
        <v>2.8</v>
      </c>
      <c r="M16">
        <f t="shared" si="0"/>
        <v>90</v>
      </c>
      <c r="N16">
        <f>P16*Constants!$E$2</f>
        <v>6.12</v>
      </c>
      <c r="P16">
        <f t="shared" si="1"/>
        <v>3.6</v>
      </c>
      <c r="Q16">
        <f>P16*Constants!$B$3</f>
        <v>15.119999999999997</v>
      </c>
      <c r="R16">
        <f t="shared" si="2"/>
        <v>8.9999999999999964</v>
      </c>
      <c r="S16">
        <f t="shared" si="3"/>
        <v>19.399999999999999</v>
      </c>
      <c r="T16">
        <f>S16*Constants!$B$2</f>
        <v>54.319999999999993</v>
      </c>
      <c r="V16">
        <f t="shared" si="4"/>
        <v>0</v>
      </c>
      <c r="W16">
        <f t="shared" si="5"/>
        <v>0</v>
      </c>
      <c r="AA16" s="8"/>
      <c r="AJ16" s="4"/>
    </row>
    <row r="17" spans="1:36" x14ac:dyDescent="0.25">
      <c r="A17">
        <v>16</v>
      </c>
      <c r="B17">
        <v>7</v>
      </c>
      <c r="C17" t="s">
        <v>57</v>
      </c>
      <c r="D17" s="16" t="s">
        <v>247</v>
      </c>
      <c r="E17" s="16" t="s">
        <v>246</v>
      </c>
      <c r="F17">
        <f>1.2*2.9</f>
        <v>3.48</v>
      </c>
      <c r="G17" t="s">
        <v>44</v>
      </c>
      <c r="H17">
        <v>0</v>
      </c>
      <c r="I17">
        <f>2*(1.2+2.9)</f>
        <v>8.1999999999999993</v>
      </c>
      <c r="L17">
        <f>Constants!$B$2</f>
        <v>2.8</v>
      </c>
      <c r="M17" t="str">
        <f t="shared" si="0"/>
        <v>N/A</v>
      </c>
      <c r="N17">
        <f>P17*Constants!$E$2</f>
        <v>0</v>
      </c>
      <c r="P17">
        <f t="shared" si="1"/>
        <v>0</v>
      </c>
      <c r="Q17">
        <f>P17*Constants!$B$3</f>
        <v>0</v>
      </c>
      <c r="R17">
        <f t="shared" si="2"/>
        <v>0</v>
      </c>
      <c r="S17">
        <f t="shared" si="3"/>
        <v>8.1999999999999993</v>
      </c>
      <c r="T17">
        <f>S17*Constants!$B$2</f>
        <v>22.959999999999997</v>
      </c>
      <c r="V17">
        <f t="shared" si="4"/>
        <v>0</v>
      </c>
      <c r="W17">
        <f t="shared" si="5"/>
        <v>0</v>
      </c>
      <c r="AA17" s="8"/>
      <c r="AJ17" s="4"/>
    </row>
    <row r="18" spans="1:36" x14ac:dyDescent="0.25">
      <c r="A18">
        <v>17</v>
      </c>
      <c r="B18">
        <v>7</v>
      </c>
      <c r="C18" t="s">
        <v>49</v>
      </c>
      <c r="D18" s="16" t="s">
        <v>248</v>
      </c>
      <c r="F18">
        <v>25.67</v>
      </c>
      <c r="G18">
        <v>90</v>
      </c>
      <c r="H18">
        <v>3.6</v>
      </c>
      <c r="I18">
        <f>2*(3.6+7.9)</f>
        <v>23</v>
      </c>
      <c r="L18">
        <f>Constants!$B$2</f>
        <v>2.8</v>
      </c>
      <c r="M18">
        <f t="shared" si="0"/>
        <v>90</v>
      </c>
      <c r="N18">
        <f>P18*Constants!$E$2</f>
        <v>6.12</v>
      </c>
      <c r="P18">
        <f t="shared" si="1"/>
        <v>3.6</v>
      </c>
      <c r="Q18">
        <f>P18*Constants!$B$3</f>
        <v>15.119999999999997</v>
      </c>
      <c r="R18">
        <f t="shared" si="2"/>
        <v>8.9999999999999964</v>
      </c>
      <c r="S18">
        <f t="shared" si="3"/>
        <v>19.399999999999999</v>
      </c>
      <c r="T18">
        <f>S18*Constants!$B$2</f>
        <v>54.319999999999993</v>
      </c>
      <c r="V18">
        <f t="shared" si="4"/>
        <v>0</v>
      </c>
      <c r="W18">
        <f t="shared" si="5"/>
        <v>0</v>
      </c>
      <c r="AA18" s="8"/>
      <c r="AJ18" s="4"/>
    </row>
    <row r="19" spans="1:36" x14ac:dyDescent="0.25">
      <c r="A19">
        <v>18</v>
      </c>
      <c r="B19">
        <v>7</v>
      </c>
      <c r="C19" t="s">
        <v>57</v>
      </c>
      <c r="D19" s="16" t="s">
        <v>249</v>
      </c>
      <c r="E19" s="16" t="s">
        <v>248</v>
      </c>
      <c r="F19">
        <f>1.2*2.9</f>
        <v>3.48</v>
      </c>
      <c r="G19" t="s">
        <v>44</v>
      </c>
      <c r="H19">
        <v>0</v>
      </c>
      <c r="I19">
        <f>2*(1.2+2.9)</f>
        <v>8.1999999999999993</v>
      </c>
      <c r="L19">
        <f>Constants!$B$2</f>
        <v>2.8</v>
      </c>
      <c r="M19" t="str">
        <f t="shared" si="0"/>
        <v>N/A</v>
      </c>
      <c r="N19">
        <f>P19*Constants!$E$2</f>
        <v>0</v>
      </c>
      <c r="P19">
        <f t="shared" si="1"/>
        <v>0</v>
      </c>
      <c r="Q19">
        <f>P19*Constants!$B$3</f>
        <v>0</v>
      </c>
      <c r="R19">
        <f t="shared" si="2"/>
        <v>0</v>
      </c>
      <c r="S19">
        <f t="shared" si="3"/>
        <v>8.1999999999999993</v>
      </c>
      <c r="T19">
        <f>S19*Constants!$B$2</f>
        <v>22.959999999999997</v>
      </c>
      <c r="V19">
        <f t="shared" si="4"/>
        <v>0</v>
      </c>
      <c r="W19">
        <f t="shared" si="5"/>
        <v>0</v>
      </c>
      <c r="AA19" s="8"/>
      <c r="AJ19" s="4"/>
    </row>
    <row r="20" spans="1:36" x14ac:dyDescent="0.25">
      <c r="A20">
        <v>19</v>
      </c>
      <c r="B20">
        <v>7</v>
      </c>
      <c r="C20" t="s">
        <v>49</v>
      </c>
      <c r="D20" s="16" t="s">
        <v>250</v>
      </c>
      <c r="E20" s="16"/>
      <c r="F20">
        <v>24.73</v>
      </c>
      <c r="G20">
        <v>90</v>
      </c>
      <c r="H20">
        <f>3.6+3.3</f>
        <v>6.9</v>
      </c>
      <c r="I20">
        <f>2*(3.6+7.9)</f>
        <v>23</v>
      </c>
      <c r="L20">
        <f>Constants!$B$2</f>
        <v>2.8</v>
      </c>
      <c r="M20">
        <f t="shared" si="0"/>
        <v>90</v>
      </c>
      <c r="N20">
        <f>P20*Constants!$E$2</f>
        <v>11.73</v>
      </c>
      <c r="P20">
        <f t="shared" si="1"/>
        <v>6.9</v>
      </c>
      <c r="Q20">
        <f>P20*Constants!$B$3</f>
        <v>28.979999999999997</v>
      </c>
      <c r="R20">
        <f t="shared" si="2"/>
        <v>17.249999999999996</v>
      </c>
      <c r="S20">
        <f t="shared" si="3"/>
        <v>16.100000000000001</v>
      </c>
      <c r="T20">
        <f>S20*Constants!$B$2</f>
        <v>45.08</v>
      </c>
      <c r="V20">
        <f t="shared" si="4"/>
        <v>0</v>
      </c>
      <c r="W20">
        <f t="shared" si="5"/>
        <v>0</v>
      </c>
      <c r="AA20" s="8"/>
      <c r="AJ20" s="4"/>
    </row>
    <row r="21" spans="1:36" x14ac:dyDescent="0.25">
      <c r="A21">
        <v>20</v>
      </c>
      <c r="B21">
        <v>7</v>
      </c>
      <c r="C21" t="s">
        <v>57</v>
      </c>
      <c r="D21" s="16" t="s">
        <v>251</v>
      </c>
      <c r="E21" s="16" t="s">
        <v>250</v>
      </c>
      <c r="F21">
        <f>1.2*2.9</f>
        <v>3.48</v>
      </c>
      <c r="G21" t="s">
        <v>44</v>
      </c>
      <c r="H21">
        <v>0</v>
      </c>
      <c r="I21">
        <f>2*(1.2+2.9)</f>
        <v>8.1999999999999993</v>
      </c>
      <c r="L21">
        <f>Constants!$B$2</f>
        <v>2.8</v>
      </c>
      <c r="M21" t="str">
        <f t="shared" si="0"/>
        <v>N/A</v>
      </c>
      <c r="N21">
        <f>P21*Constants!$E$2</f>
        <v>0</v>
      </c>
      <c r="P21">
        <f t="shared" si="1"/>
        <v>0</v>
      </c>
      <c r="Q21">
        <f>P21*Constants!$B$3</f>
        <v>0</v>
      </c>
      <c r="R21">
        <f t="shared" si="2"/>
        <v>0</v>
      </c>
      <c r="S21">
        <f t="shared" si="3"/>
        <v>8.1999999999999993</v>
      </c>
      <c r="T21">
        <f>S21*Constants!$B$2</f>
        <v>22.959999999999997</v>
      </c>
      <c r="V21">
        <f t="shared" si="4"/>
        <v>0</v>
      </c>
      <c r="W21">
        <f t="shared" si="5"/>
        <v>0</v>
      </c>
      <c r="AA21" s="8"/>
      <c r="AJ21" s="4"/>
    </row>
    <row r="22" spans="1:36" x14ac:dyDescent="0.25">
      <c r="A22">
        <v>21</v>
      </c>
      <c r="B22">
        <v>7</v>
      </c>
      <c r="C22" t="s">
        <v>64</v>
      </c>
      <c r="D22" s="16" t="s">
        <v>252</v>
      </c>
      <c r="F22">
        <v>3.72</v>
      </c>
      <c r="G22">
        <v>90</v>
      </c>
      <c r="H22">
        <v>1.3</v>
      </c>
      <c r="I22">
        <f>2*(2.8+1.3)</f>
        <v>8.1999999999999993</v>
      </c>
      <c r="L22">
        <f>Constants!$B$2</f>
        <v>2.8</v>
      </c>
      <c r="M22">
        <f t="shared" si="0"/>
        <v>90</v>
      </c>
      <c r="N22">
        <f>P22*Constants!$E$2</f>
        <v>2.21</v>
      </c>
      <c r="P22">
        <f t="shared" si="1"/>
        <v>1.3</v>
      </c>
      <c r="Q22">
        <f>P22*Constants!$B$3</f>
        <v>5.4599999999999991</v>
      </c>
      <c r="R22">
        <f t="shared" si="2"/>
        <v>3.2499999999999991</v>
      </c>
      <c r="S22">
        <f t="shared" si="3"/>
        <v>6.8999999999999995</v>
      </c>
      <c r="T22">
        <f>S22*Constants!$B$2</f>
        <v>19.319999999999997</v>
      </c>
      <c r="V22">
        <f t="shared" si="4"/>
        <v>0</v>
      </c>
      <c r="W22">
        <f t="shared" si="5"/>
        <v>0</v>
      </c>
      <c r="AA22" s="8"/>
      <c r="AJ22" s="4"/>
    </row>
    <row r="23" spans="1:36" x14ac:dyDescent="0.25">
      <c r="A23">
        <v>22</v>
      </c>
      <c r="B23">
        <v>7</v>
      </c>
      <c r="C23" t="s">
        <v>64</v>
      </c>
      <c r="D23" s="16" t="s">
        <v>253</v>
      </c>
      <c r="F23">
        <v>3.72</v>
      </c>
      <c r="G23">
        <v>90</v>
      </c>
      <c r="H23">
        <v>1.3</v>
      </c>
      <c r="I23">
        <f>2*(2.8+1.3)</f>
        <v>8.1999999999999993</v>
      </c>
      <c r="L23">
        <f>Constants!$B$2</f>
        <v>2.8</v>
      </c>
      <c r="M23">
        <f t="shared" si="0"/>
        <v>90</v>
      </c>
      <c r="N23">
        <f>P23*Constants!$E$2</f>
        <v>2.21</v>
      </c>
      <c r="P23">
        <f t="shared" si="1"/>
        <v>1.3</v>
      </c>
      <c r="Q23">
        <f>P23*Constants!$B$3</f>
        <v>5.4599999999999991</v>
      </c>
      <c r="R23">
        <f t="shared" si="2"/>
        <v>3.2499999999999991</v>
      </c>
      <c r="S23">
        <f t="shared" si="3"/>
        <v>6.8999999999999995</v>
      </c>
      <c r="T23">
        <f>S23*Constants!$B$2</f>
        <v>19.319999999999997</v>
      </c>
      <c r="V23">
        <f t="shared" si="4"/>
        <v>0</v>
      </c>
      <c r="W23">
        <f t="shared" si="5"/>
        <v>0</v>
      </c>
      <c r="AA23" s="8"/>
      <c r="AJ23" s="4"/>
    </row>
    <row r="24" spans="1:36" x14ac:dyDescent="0.25">
      <c r="A24">
        <v>23</v>
      </c>
      <c r="B24">
        <v>7</v>
      </c>
      <c r="C24" t="s">
        <v>49</v>
      </c>
      <c r="D24" s="16" t="s">
        <v>254</v>
      </c>
      <c r="F24">
        <v>24.73</v>
      </c>
      <c r="G24">
        <v>270</v>
      </c>
      <c r="H24">
        <f>3.6+3.3</f>
        <v>6.9</v>
      </c>
      <c r="I24">
        <f>2*(3.6+7.9)</f>
        <v>23</v>
      </c>
      <c r="L24">
        <f>Constants!$B$2</f>
        <v>2.8</v>
      </c>
      <c r="M24">
        <f t="shared" si="0"/>
        <v>270</v>
      </c>
      <c r="N24">
        <f>P24*Constants!$E$2</f>
        <v>11.73</v>
      </c>
      <c r="P24">
        <f t="shared" si="1"/>
        <v>6.9</v>
      </c>
      <c r="Q24">
        <f>P24*Constants!$B$3</f>
        <v>28.979999999999997</v>
      </c>
      <c r="R24">
        <f t="shared" si="2"/>
        <v>17.249999999999996</v>
      </c>
      <c r="S24">
        <f t="shared" si="3"/>
        <v>16.100000000000001</v>
      </c>
      <c r="T24">
        <f>S24*Constants!$B$2</f>
        <v>45.08</v>
      </c>
      <c r="V24">
        <f t="shared" si="4"/>
        <v>0</v>
      </c>
      <c r="W24">
        <f t="shared" si="5"/>
        <v>0</v>
      </c>
      <c r="AA24" s="8"/>
      <c r="AJ24" s="4"/>
    </row>
    <row r="25" spans="1:36" x14ac:dyDescent="0.25">
      <c r="A25">
        <v>24</v>
      </c>
      <c r="B25">
        <v>7</v>
      </c>
      <c r="C25" t="s">
        <v>57</v>
      </c>
      <c r="D25" s="16" t="s">
        <v>255</v>
      </c>
      <c r="E25" s="16" t="s">
        <v>254</v>
      </c>
      <c r="F25">
        <f>1.2*2.9</f>
        <v>3.48</v>
      </c>
      <c r="G25" t="s">
        <v>44</v>
      </c>
      <c r="H25">
        <v>0</v>
      </c>
      <c r="I25">
        <f>2*(1.2+2.9)</f>
        <v>8.1999999999999993</v>
      </c>
      <c r="L25">
        <f>Constants!$B$2</f>
        <v>2.8</v>
      </c>
      <c r="M25" t="str">
        <f t="shared" si="0"/>
        <v>N/A</v>
      </c>
      <c r="N25">
        <f>P25*Constants!$E$2</f>
        <v>0</v>
      </c>
      <c r="P25">
        <f t="shared" si="1"/>
        <v>0</v>
      </c>
      <c r="Q25">
        <f>P25*Constants!$B$3</f>
        <v>0</v>
      </c>
      <c r="R25">
        <f t="shared" si="2"/>
        <v>0</v>
      </c>
      <c r="S25">
        <f t="shared" si="3"/>
        <v>8.1999999999999993</v>
      </c>
      <c r="T25">
        <f>S25*Constants!$B$2</f>
        <v>22.959999999999997</v>
      </c>
      <c r="V25">
        <f t="shared" si="4"/>
        <v>0</v>
      </c>
      <c r="W25">
        <f t="shared" si="5"/>
        <v>0</v>
      </c>
      <c r="AA25" s="8"/>
      <c r="AJ25" s="4"/>
    </row>
    <row r="26" spans="1:36" x14ac:dyDescent="0.25">
      <c r="A26">
        <v>25</v>
      </c>
      <c r="B26">
        <v>7</v>
      </c>
      <c r="C26" t="s">
        <v>49</v>
      </c>
      <c r="D26" s="16" t="s">
        <v>256</v>
      </c>
      <c r="F26">
        <v>25.67</v>
      </c>
      <c r="G26">
        <v>270</v>
      </c>
      <c r="H26">
        <v>3.6</v>
      </c>
      <c r="I26">
        <v>23</v>
      </c>
      <c r="L26">
        <f>Constants!$B$2</f>
        <v>2.8</v>
      </c>
      <c r="M26">
        <f t="shared" si="0"/>
        <v>270</v>
      </c>
      <c r="N26">
        <f>P26*Constants!$E$2</f>
        <v>6.12</v>
      </c>
      <c r="P26">
        <f t="shared" si="1"/>
        <v>3.6</v>
      </c>
      <c r="Q26">
        <f>P26*Constants!$B$3</f>
        <v>15.119999999999997</v>
      </c>
      <c r="R26">
        <f t="shared" si="2"/>
        <v>8.9999999999999964</v>
      </c>
      <c r="S26">
        <f t="shared" si="3"/>
        <v>19.399999999999999</v>
      </c>
      <c r="T26">
        <f>S26*Constants!$B$2</f>
        <v>54.319999999999993</v>
      </c>
      <c r="V26">
        <f t="shared" si="4"/>
        <v>0</v>
      </c>
      <c r="W26">
        <f t="shared" si="5"/>
        <v>0</v>
      </c>
      <c r="AA26" s="8"/>
      <c r="AJ26" s="4"/>
    </row>
    <row r="27" spans="1:36" x14ac:dyDescent="0.25">
      <c r="A27">
        <v>26</v>
      </c>
      <c r="B27">
        <v>7</v>
      </c>
      <c r="C27" t="s">
        <v>57</v>
      </c>
      <c r="D27" s="16" t="s">
        <v>257</v>
      </c>
      <c r="E27" s="16" t="s">
        <v>256</v>
      </c>
      <c r="F27">
        <f>1.2*2.9</f>
        <v>3.48</v>
      </c>
      <c r="G27" t="s">
        <v>44</v>
      </c>
      <c r="H27">
        <v>0</v>
      </c>
      <c r="I27">
        <f>2*(1.2+2.9)</f>
        <v>8.1999999999999993</v>
      </c>
      <c r="L27">
        <f>Constants!$B$2</f>
        <v>2.8</v>
      </c>
      <c r="M27" t="str">
        <f t="shared" si="0"/>
        <v>N/A</v>
      </c>
      <c r="N27">
        <f>P27*Constants!$E$2</f>
        <v>0</v>
      </c>
      <c r="P27">
        <f t="shared" si="1"/>
        <v>0</v>
      </c>
      <c r="Q27">
        <f>P27*Constants!$B$3</f>
        <v>0</v>
      </c>
      <c r="R27">
        <f t="shared" si="2"/>
        <v>0</v>
      </c>
      <c r="S27">
        <f t="shared" si="3"/>
        <v>8.1999999999999993</v>
      </c>
      <c r="T27">
        <f>S27*Constants!$B$2</f>
        <v>22.959999999999997</v>
      </c>
      <c r="V27">
        <f t="shared" si="4"/>
        <v>0</v>
      </c>
      <c r="W27">
        <f t="shared" si="5"/>
        <v>0</v>
      </c>
      <c r="AA27" s="8"/>
      <c r="AJ27" s="4"/>
    </row>
    <row r="28" spans="1:36" x14ac:dyDescent="0.25">
      <c r="A28">
        <v>27</v>
      </c>
      <c r="B28">
        <v>7</v>
      </c>
      <c r="C28" t="s">
        <v>49</v>
      </c>
      <c r="D28" s="16" t="s">
        <v>258</v>
      </c>
      <c r="F28">
        <v>27.37</v>
      </c>
      <c r="G28">
        <v>270</v>
      </c>
      <c r="H28">
        <v>3.6</v>
      </c>
      <c r="I28">
        <v>23</v>
      </c>
      <c r="L28">
        <f>Constants!$B$2</f>
        <v>2.8</v>
      </c>
      <c r="M28">
        <f t="shared" si="0"/>
        <v>270</v>
      </c>
      <c r="N28">
        <f>P28*Constants!$E$2</f>
        <v>6.12</v>
      </c>
      <c r="P28">
        <f t="shared" si="1"/>
        <v>3.6</v>
      </c>
      <c r="Q28">
        <f>P28*Constants!$B$3</f>
        <v>15.119999999999997</v>
      </c>
      <c r="R28">
        <f t="shared" si="2"/>
        <v>8.9999999999999964</v>
      </c>
      <c r="S28">
        <f t="shared" si="3"/>
        <v>19.399999999999999</v>
      </c>
      <c r="T28">
        <f>S28*Constants!$B$2</f>
        <v>54.319999999999993</v>
      </c>
      <c r="V28">
        <f t="shared" si="4"/>
        <v>0</v>
      </c>
      <c r="W28">
        <f t="shared" si="5"/>
        <v>0</v>
      </c>
      <c r="AA28" s="8"/>
      <c r="AJ28" s="4"/>
    </row>
    <row r="29" spans="1:36" x14ac:dyDescent="0.25">
      <c r="A29">
        <v>28</v>
      </c>
      <c r="B29">
        <v>7</v>
      </c>
      <c r="C29" t="s">
        <v>57</v>
      </c>
      <c r="D29" s="16" t="s">
        <v>259</v>
      </c>
      <c r="E29" s="16" t="s">
        <v>258</v>
      </c>
      <c r="F29">
        <f>1.2*2.9</f>
        <v>3.48</v>
      </c>
      <c r="G29" t="s">
        <v>44</v>
      </c>
      <c r="H29">
        <v>0</v>
      </c>
      <c r="I29">
        <f>2*(1.2+2.9)</f>
        <v>8.1999999999999993</v>
      </c>
      <c r="L29">
        <f>Constants!$B$2</f>
        <v>2.8</v>
      </c>
      <c r="M29" t="str">
        <f t="shared" si="0"/>
        <v>N/A</v>
      </c>
      <c r="N29">
        <f>P29*Constants!$E$2</f>
        <v>0</v>
      </c>
      <c r="P29">
        <f t="shared" si="1"/>
        <v>0</v>
      </c>
      <c r="Q29">
        <f>P29*Constants!$B$3</f>
        <v>0</v>
      </c>
      <c r="R29">
        <f t="shared" si="2"/>
        <v>0</v>
      </c>
      <c r="S29">
        <f t="shared" si="3"/>
        <v>8.1999999999999993</v>
      </c>
      <c r="T29">
        <f>S29*Constants!$B$2</f>
        <v>22.959999999999997</v>
      </c>
      <c r="V29">
        <f t="shared" si="4"/>
        <v>0</v>
      </c>
      <c r="W29">
        <f t="shared" si="5"/>
        <v>0</v>
      </c>
      <c r="AA29" s="8"/>
      <c r="AJ29" s="4"/>
    </row>
    <row r="30" spans="1:36" x14ac:dyDescent="0.25">
      <c r="A30">
        <v>29</v>
      </c>
      <c r="B30">
        <v>7</v>
      </c>
      <c r="C30" t="s">
        <v>49</v>
      </c>
      <c r="D30" s="16" t="s">
        <v>260</v>
      </c>
      <c r="F30">
        <v>19.829999999999998</v>
      </c>
      <c r="G30">
        <v>270</v>
      </c>
      <c r="H30">
        <v>3</v>
      </c>
      <c r="I30">
        <f>1.2*2*(2.5+6.5)</f>
        <v>21.599999999999998</v>
      </c>
      <c r="L30">
        <f>Constants!$B$2</f>
        <v>2.8</v>
      </c>
      <c r="M30">
        <f t="shared" si="0"/>
        <v>270</v>
      </c>
      <c r="N30">
        <f>P30*Constants!$E$2</f>
        <v>5.0999999999999996</v>
      </c>
      <c r="P30">
        <f t="shared" si="1"/>
        <v>3</v>
      </c>
      <c r="Q30">
        <f>P30*Constants!$B$3</f>
        <v>12.599999999999998</v>
      </c>
      <c r="R30">
        <f t="shared" si="2"/>
        <v>7.4999999999999982</v>
      </c>
      <c r="S30">
        <f t="shared" si="3"/>
        <v>18.599999999999998</v>
      </c>
      <c r="T30">
        <f>S30*Constants!$B$2</f>
        <v>52.079999999999991</v>
      </c>
      <c r="V30">
        <f t="shared" si="4"/>
        <v>0</v>
      </c>
      <c r="W30">
        <f t="shared" si="5"/>
        <v>0</v>
      </c>
      <c r="AA30" s="8"/>
      <c r="AJ30" s="4"/>
    </row>
    <row r="31" spans="1:36" x14ac:dyDescent="0.25">
      <c r="A31">
        <v>30</v>
      </c>
      <c r="B31">
        <v>7</v>
      </c>
      <c r="C31" t="s">
        <v>59</v>
      </c>
      <c r="D31" s="16" t="s">
        <v>261</v>
      </c>
      <c r="F31">
        <v>21.72</v>
      </c>
      <c r="G31">
        <v>270</v>
      </c>
      <c r="H31">
        <v>3</v>
      </c>
      <c r="I31">
        <f>1.2*2*(2.5+6.5)</f>
        <v>21.599999999999998</v>
      </c>
      <c r="L31">
        <f>Constants!$B$2</f>
        <v>2.8</v>
      </c>
      <c r="M31">
        <f t="shared" si="0"/>
        <v>270</v>
      </c>
      <c r="N31">
        <f>P31*Constants!$E$2</f>
        <v>5.0999999999999996</v>
      </c>
      <c r="P31">
        <f t="shared" si="1"/>
        <v>3</v>
      </c>
      <c r="Q31">
        <f>P31*Constants!$B$3</f>
        <v>12.599999999999998</v>
      </c>
      <c r="R31">
        <f t="shared" si="2"/>
        <v>7.4999999999999982</v>
      </c>
      <c r="S31">
        <f t="shared" si="3"/>
        <v>18.599999999999998</v>
      </c>
      <c r="T31">
        <f>S31*Constants!$B$2</f>
        <v>52.079999999999991</v>
      </c>
      <c r="V31">
        <f t="shared" si="4"/>
        <v>0</v>
      </c>
      <c r="W31">
        <f t="shared" si="5"/>
        <v>0</v>
      </c>
      <c r="AA31" s="8"/>
      <c r="AJ31" s="4"/>
    </row>
    <row r="32" spans="1:36" x14ac:dyDescent="0.25">
      <c r="A32">
        <v>31</v>
      </c>
      <c r="B32">
        <v>7</v>
      </c>
      <c r="C32" t="s">
        <v>49</v>
      </c>
      <c r="D32" s="16" t="s">
        <v>262</v>
      </c>
      <c r="E32" s="16"/>
      <c r="F32">
        <v>21.8</v>
      </c>
      <c r="G32">
        <v>270</v>
      </c>
      <c r="H32">
        <v>3.1</v>
      </c>
      <c r="I32">
        <f>1.2*2*(2.5+6.5)</f>
        <v>21.599999999999998</v>
      </c>
      <c r="L32">
        <f>Constants!$B$2</f>
        <v>2.8</v>
      </c>
      <c r="M32">
        <f t="shared" si="0"/>
        <v>270</v>
      </c>
      <c r="N32">
        <f>P32*Constants!$E$2</f>
        <v>5.27</v>
      </c>
      <c r="P32">
        <f t="shared" si="1"/>
        <v>3.1</v>
      </c>
      <c r="Q32">
        <f>P32*Constants!$B$3</f>
        <v>13.019999999999998</v>
      </c>
      <c r="R32">
        <f t="shared" si="2"/>
        <v>7.7499999999999982</v>
      </c>
      <c r="S32">
        <f t="shared" si="3"/>
        <v>18.499999999999996</v>
      </c>
      <c r="T32">
        <f>S32*Constants!$B$2</f>
        <v>51.79999999999999</v>
      </c>
      <c r="V32">
        <f t="shared" si="4"/>
        <v>0</v>
      </c>
      <c r="W32">
        <f t="shared" si="5"/>
        <v>0</v>
      </c>
      <c r="AA32" s="8"/>
      <c r="AJ32" s="4"/>
    </row>
    <row r="33" spans="1:36" x14ac:dyDescent="0.25">
      <c r="A33">
        <v>32</v>
      </c>
      <c r="B33">
        <v>7</v>
      </c>
      <c r="C33" t="s">
        <v>67</v>
      </c>
      <c r="D33" s="16" t="s">
        <v>263</v>
      </c>
      <c r="F33">
        <v>21.95</v>
      </c>
      <c r="G33">
        <v>270</v>
      </c>
      <c r="H33">
        <v>2.9</v>
      </c>
      <c r="I33">
        <f>1.2*2*(2.5+6.5)</f>
        <v>21.599999999999998</v>
      </c>
      <c r="L33">
        <f>Constants!$B$2</f>
        <v>2.8</v>
      </c>
      <c r="M33">
        <f t="shared" si="0"/>
        <v>270</v>
      </c>
      <c r="N33">
        <f>P33*Constants!$E$2</f>
        <v>4.93</v>
      </c>
      <c r="P33">
        <f t="shared" si="1"/>
        <v>2.9</v>
      </c>
      <c r="Q33">
        <f>P33*Constants!$B$3</f>
        <v>12.179999999999998</v>
      </c>
      <c r="R33">
        <f t="shared" si="2"/>
        <v>7.2499999999999982</v>
      </c>
      <c r="S33">
        <f t="shared" si="3"/>
        <v>18.7</v>
      </c>
      <c r="T33">
        <f>S33*Constants!$B$2</f>
        <v>52.359999999999992</v>
      </c>
      <c r="V33">
        <f t="shared" si="4"/>
        <v>0</v>
      </c>
      <c r="W33">
        <f t="shared" si="5"/>
        <v>0</v>
      </c>
      <c r="AA33" s="8"/>
      <c r="AJ33" s="4"/>
    </row>
    <row r="34" spans="1:36" x14ac:dyDescent="0.25">
      <c r="A34">
        <v>33</v>
      </c>
      <c r="B34">
        <v>7</v>
      </c>
      <c r="C34" t="s">
        <v>49</v>
      </c>
      <c r="D34" s="16" t="s">
        <v>264</v>
      </c>
      <c r="F34">
        <v>25.67</v>
      </c>
      <c r="G34">
        <v>270</v>
      </c>
      <c r="H34">
        <v>3.6</v>
      </c>
      <c r="I34">
        <v>23</v>
      </c>
      <c r="L34">
        <f>Constants!$B$2</f>
        <v>2.8</v>
      </c>
      <c r="M34">
        <f t="shared" si="0"/>
        <v>270</v>
      </c>
      <c r="N34">
        <f>P34*Constants!$E$2</f>
        <v>6.12</v>
      </c>
      <c r="P34">
        <f t="shared" si="1"/>
        <v>3.6</v>
      </c>
      <c r="Q34">
        <f>P34*Constants!$B$3</f>
        <v>15.119999999999997</v>
      </c>
      <c r="R34">
        <f t="shared" si="2"/>
        <v>8.9999999999999964</v>
      </c>
      <c r="S34">
        <f t="shared" si="3"/>
        <v>19.399999999999999</v>
      </c>
      <c r="T34">
        <f>S34*Constants!$B$2</f>
        <v>54.319999999999993</v>
      </c>
      <c r="V34">
        <f t="shared" si="4"/>
        <v>0</v>
      </c>
      <c r="W34">
        <f t="shared" si="5"/>
        <v>0</v>
      </c>
      <c r="AA34" s="8"/>
      <c r="AJ34" s="4"/>
    </row>
    <row r="35" spans="1:36" x14ac:dyDescent="0.25">
      <c r="A35">
        <v>34</v>
      </c>
      <c r="B35">
        <v>7</v>
      </c>
      <c r="C35" t="s">
        <v>57</v>
      </c>
      <c r="D35" s="16" t="s">
        <v>265</v>
      </c>
      <c r="E35" s="16" t="s">
        <v>264</v>
      </c>
      <c r="F35">
        <f>1.2*2.9</f>
        <v>3.48</v>
      </c>
      <c r="G35" t="s">
        <v>44</v>
      </c>
      <c r="H35">
        <v>0</v>
      </c>
      <c r="I35">
        <f>2*(1.2+2.9)</f>
        <v>8.1999999999999993</v>
      </c>
      <c r="L35">
        <f>Constants!$B$2</f>
        <v>2.8</v>
      </c>
      <c r="M35" t="str">
        <f t="shared" si="0"/>
        <v>N/A</v>
      </c>
      <c r="N35">
        <f>P35*Constants!$E$2</f>
        <v>0</v>
      </c>
      <c r="P35">
        <f t="shared" si="1"/>
        <v>0</v>
      </c>
      <c r="Q35">
        <f>P35*Constants!$B$3</f>
        <v>0</v>
      </c>
      <c r="R35">
        <f t="shared" si="2"/>
        <v>0</v>
      </c>
      <c r="S35">
        <f t="shared" si="3"/>
        <v>8.1999999999999993</v>
      </c>
      <c r="T35">
        <f>S35*Constants!$B$2</f>
        <v>22.959999999999997</v>
      </c>
      <c r="V35">
        <f t="shared" si="4"/>
        <v>0</v>
      </c>
      <c r="W35">
        <f t="shared" si="5"/>
        <v>0</v>
      </c>
      <c r="AA35" s="8"/>
      <c r="AJ35" s="4"/>
    </row>
    <row r="36" spans="1:36" x14ac:dyDescent="0.25">
      <c r="A36">
        <v>35</v>
      </c>
      <c r="B36">
        <v>7</v>
      </c>
      <c r="C36" t="s">
        <v>49</v>
      </c>
      <c r="D36" s="16" t="s">
        <v>266</v>
      </c>
      <c r="F36">
        <v>25.67</v>
      </c>
      <c r="G36">
        <v>270</v>
      </c>
      <c r="H36">
        <v>3.6</v>
      </c>
      <c r="I36">
        <v>23</v>
      </c>
      <c r="L36">
        <f>Constants!$B$2</f>
        <v>2.8</v>
      </c>
      <c r="M36">
        <f t="shared" si="0"/>
        <v>270</v>
      </c>
      <c r="N36">
        <f>P36*Constants!$E$2</f>
        <v>6.12</v>
      </c>
      <c r="P36">
        <f t="shared" si="1"/>
        <v>3.6</v>
      </c>
      <c r="Q36">
        <f>P36*Constants!$B$3</f>
        <v>15.119999999999997</v>
      </c>
      <c r="R36">
        <f t="shared" si="2"/>
        <v>8.9999999999999964</v>
      </c>
      <c r="S36">
        <f t="shared" si="3"/>
        <v>19.399999999999999</v>
      </c>
      <c r="T36">
        <f>S36*Constants!$B$2</f>
        <v>54.319999999999993</v>
      </c>
      <c r="V36">
        <f t="shared" si="4"/>
        <v>0</v>
      </c>
      <c r="W36">
        <f t="shared" si="5"/>
        <v>0</v>
      </c>
      <c r="AA36" s="8"/>
      <c r="AJ36" s="4"/>
    </row>
    <row r="37" spans="1:36" x14ac:dyDescent="0.25">
      <c r="A37">
        <v>36</v>
      </c>
      <c r="B37">
        <v>7</v>
      </c>
      <c r="C37" t="s">
        <v>57</v>
      </c>
      <c r="D37" s="16" t="s">
        <v>267</v>
      </c>
      <c r="E37" s="16" t="s">
        <v>266</v>
      </c>
      <c r="F37">
        <f>1.2*2.9</f>
        <v>3.48</v>
      </c>
      <c r="G37" t="s">
        <v>44</v>
      </c>
      <c r="H37">
        <v>0</v>
      </c>
      <c r="I37">
        <f>2*(1.2+2.9)</f>
        <v>8.1999999999999993</v>
      </c>
      <c r="L37">
        <f>Constants!$B$2</f>
        <v>2.8</v>
      </c>
      <c r="M37" t="str">
        <f t="shared" si="0"/>
        <v>N/A</v>
      </c>
      <c r="N37">
        <f>P37*Constants!$E$2</f>
        <v>0</v>
      </c>
      <c r="P37">
        <f t="shared" si="1"/>
        <v>0</v>
      </c>
      <c r="Q37">
        <f>P37*Constants!$B$3</f>
        <v>0</v>
      </c>
      <c r="R37">
        <f t="shared" si="2"/>
        <v>0</v>
      </c>
      <c r="S37">
        <f t="shared" si="3"/>
        <v>8.1999999999999993</v>
      </c>
      <c r="T37">
        <f>S37*Constants!$B$2</f>
        <v>22.959999999999997</v>
      </c>
      <c r="V37">
        <f t="shared" si="4"/>
        <v>0</v>
      </c>
      <c r="W37">
        <f t="shared" si="5"/>
        <v>0</v>
      </c>
      <c r="AA37" s="8"/>
      <c r="AJ37" s="4"/>
    </row>
    <row r="38" spans="1:36" x14ac:dyDescent="0.25">
      <c r="A38">
        <v>37</v>
      </c>
      <c r="B38">
        <v>7</v>
      </c>
      <c r="C38" t="s">
        <v>49</v>
      </c>
      <c r="D38" s="16" t="s">
        <v>268</v>
      </c>
      <c r="F38">
        <v>25.86</v>
      </c>
      <c r="G38">
        <v>270</v>
      </c>
      <c r="H38">
        <v>1.2</v>
      </c>
      <c r="I38">
        <v>23</v>
      </c>
      <c r="L38">
        <f>Constants!$B$2</f>
        <v>2.8</v>
      </c>
      <c r="M38">
        <f t="shared" si="0"/>
        <v>270</v>
      </c>
      <c r="N38">
        <f>P38*Constants!$E$2</f>
        <v>2.04</v>
      </c>
      <c r="P38">
        <f t="shared" si="1"/>
        <v>1.2</v>
      </c>
      <c r="Q38">
        <f>P38*Constants!$B$3</f>
        <v>5.0399999999999991</v>
      </c>
      <c r="R38">
        <f t="shared" si="2"/>
        <v>2.9999999999999991</v>
      </c>
      <c r="S38">
        <f t="shared" si="3"/>
        <v>21.8</v>
      </c>
      <c r="T38">
        <f>S38*Constants!$B$2</f>
        <v>61.04</v>
      </c>
      <c r="V38">
        <f t="shared" si="4"/>
        <v>0</v>
      </c>
      <c r="W38">
        <f t="shared" si="5"/>
        <v>0</v>
      </c>
      <c r="AA38" s="8"/>
      <c r="AJ38" s="4"/>
    </row>
    <row r="39" spans="1:36" x14ac:dyDescent="0.25">
      <c r="A39">
        <v>38</v>
      </c>
      <c r="B39">
        <v>7</v>
      </c>
      <c r="C39" t="s">
        <v>54</v>
      </c>
      <c r="D39" s="16" t="s">
        <v>269</v>
      </c>
      <c r="F39">
        <v>13.25</v>
      </c>
      <c r="G39" t="s">
        <v>44</v>
      </c>
      <c r="H39">
        <v>0</v>
      </c>
      <c r="I39">
        <f>2*(4.8+3.2)</f>
        <v>16</v>
      </c>
      <c r="L39">
        <f>Constants!$B$2</f>
        <v>2.8</v>
      </c>
      <c r="M39" t="str">
        <f t="shared" si="0"/>
        <v>N/A</v>
      </c>
      <c r="N39">
        <f>P39*Constants!$E$2</f>
        <v>0</v>
      </c>
      <c r="P39">
        <f t="shared" si="1"/>
        <v>0</v>
      </c>
      <c r="Q39">
        <f>P39*Constants!$B$3</f>
        <v>0</v>
      </c>
      <c r="R39">
        <f t="shared" si="2"/>
        <v>0</v>
      </c>
      <c r="S39">
        <f t="shared" si="3"/>
        <v>16</v>
      </c>
      <c r="T39">
        <f>S39*Constants!$B$2</f>
        <v>44.8</v>
      </c>
      <c r="V39">
        <f t="shared" si="4"/>
        <v>0</v>
      </c>
      <c r="W39">
        <f t="shared" si="5"/>
        <v>0</v>
      </c>
      <c r="AA39" s="8"/>
      <c r="AJ39" s="4"/>
    </row>
    <row r="40" spans="1:36" x14ac:dyDescent="0.25">
      <c r="A40">
        <v>39</v>
      </c>
      <c r="B40">
        <v>7</v>
      </c>
      <c r="C40" t="s">
        <v>62</v>
      </c>
      <c r="D40" s="16" t="s">
        <v>270</v>
      </c>
      <c r="F40">
        <v>20.76</v>
      </c>
      <c r="G40">
        <v>90</v>
      </c>
      <c r="H40">
        <v>3.2</v>
      </c>
      <c r="I40">
        <f>2*(5.3+3.2)</f>
        <v>17</v>
      </c>
      <c r="L40">
        <f>Constants!$B$2</f>
        <v>2.8</v>
      </c>
      <c r="M40">
        <f t="shared" si="0"/>
        <v>90</v>
      </c>
      <c r="N40">
        <f>P40*Constants!$E$2</f>
        <v>5.44</v>
      </c>
      <c r="P40">
        <f t="shared" si="1"/>
        <v>3.2</v>
      </c>
      <c r="Q40">
        <f>P40*Constants!$B$3</f>
        <v>13.439999999999998</v>
      </c>
      <c r="R40">
        <f t="shared" si="2"/>
        <v>7.9999999999999973</v>
      </c>
      <c r="S40">
        <f>I40-P40</f>
        <v>13.8</v>
      </c>
      <c r="T40">
        <f>S40*Constants!$B$2</f>
        <v>38.64</v>
      </c>
      <c r="V40">
        <f t="shared" si="4"/>
        <v>0</v>
      </c>
      <c r="W40">
        <f t="shared" si="5"/>
        <v>0</v>
      </c>
      <c r="AA40" s="8"/>
      <c r="AJ40" s="4"/>
    </row>
    <row r="41" spans="1:36" x14ac:dyDescent="0.25">
      <c r="D41" s="15"/>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4"/>
    </row>
    <row r="452" spans="4:4" x14ac:dyDescent="0.25">
      <c r="D452" s="14"/>
    </row>
    <row r="453" spans="4:4" x14ac:dyDescent="0.25">
      <c r="D453" s="13"/>
    </row>
    <row r="454" spans="4:4" x14ac:dyDescent="0.25">
      <c r="D454" s="13"/>
    </row>
    <row r="455" spans="4:4" x14ac:dyDescent="0.25">
      <c r="D455" s="13"/>
    </row>
    <row r="456" spans="4:4" x14ac:dyDescent="0.25">
      <c r="D456" s="13"/>
    </row>
    <row r="457" spans="4:4" x14ac:dyDescent="0.25">
      <c r="D457" s="13"/>
    </row>
    <row r="458" spans="4:4" x14ac:dyDescent="0.25">
      <c r="D458" s="13"/>
    </row>
    <row r="459" spans="4:4" x14ac:dyDescent="0.25">
      <c r="D459" s="13"/>
    </row>
    <row r="460" spans="4:4" x14ac:dyDescent="0.25">
      <c r="D460" s="13"/>
    </row>
  </sheetData>
  <pageMargins left="0.7" right="0.7" top="0.78740157499999996" bottom="0.78740157499999996"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35"/>
  <sheetViews>
    <sheetView zoomScaleNormal="100" workbookViewId="0">
      <pane xSplit="4" ySplit="1" topLeftCell="G2" activePane="bottomRight" state="frozen"/>
      <selection pane="topRight" activeCell="F1" sqref="F1"/>
      <selection pane="bottomLeft" activeCell="A2" sqref="A2"/>
      <selection pane="bottomRight" activeCell="G17" sqref="G17"/>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54</v>
      </c>
      <c r="D2" s="16" t="s">
        <v>272</v>
      </c>
      <c r="F2">
        <v>45.02</v>
      </c>
      <c r="G2">
        <v>270</v>
      </c>
      <c r="H2">
        <v>8.4</v>
      </c>
      <c r="I2">
        <v>27.76</v>
      </c>
      <c r="L2">
        <f>Constants!$B$2</f>
        <v>2.8</v>
      </c>
      <c r="M2">
        <f t="shared" ref="M2:M15" si="0">IF(N2&gt;0,G2,"N/A")</f>
        <v>270</v>
      </c>
      <c r="N2">
        <f>P2*Constants!$E$2</f>
        <v>14.28</v>
      </c>
      <c r="P2">
        <f>H2</f>
        <v>8.4</v>
      </c>
      <c r="Q2">
        <f>P2*Constants!$B$3</f>
        <v>35.279999999999994</v>
      </c>
      <c r="R2">
        <f>IF(Q2-N2&lt;=0, 0, Q2-N2)</f>
        <v>20.999999999999993</v>
      </c>
      <c r="S2">
        <f>I2-P2</f>
        <v>19.36</v>
      </c>
      <c r="T2">
        <f>S2*Constants!$B$2</f>
        <v>54.207999999999998</v>
      </c>
      <c r="V2">
        <f>IF(B2="E",1,0)</f>
        <v>0</v>
      </c>
      <c r="W2">
        <f>IF(B2=10,1,0)</f>
        <v>0</v>
      </c>
      <c r="AA2" s="8"/>
      <c r="AJ2" s="4"/>
    </row>
    <row r="3" spans="1:40" x14ac:dyDescent="0.25">
      <c r="A3">
        <v>2</v>
      </c>
      <c r="B3">
        <v>7</v>
      </c>
      <c r="C3" t="s">
        <v>55</v>
      </c>
      <c r="D3" s="16" t="s">
        <v>273</v>
      </c>
      <c r="F3">
        <v>19.04</v>
      </c>
      <c r="G3">
        <v>270</v>
      </c>
      <c r="H3">
        <v>3.6</v>
      </c>
      <c r="I3">
        <v>23.86</v>
      </c>
      <c r="L3">
        <f>Constants!$B$2</f>
        <v>2.8</v>
      </c>
      <c r="M3">
        <f t="shared" si="0"/>
        <v>270</v>
      </c>
      <c r="N3">
        <f>P3*Constants!$E$2</f>
        <v>6.12</v>
      </c>
      <c r="P3">
        <f t="shared" ref="P3:P15" si="1">H3</f>
        <v>3.6</v>
      </c>
      <c r="Q3">
        <f>P3*Constants!$B$3</f>
        <v>15.119999999999997</v>
      </c>
      <c r="R3">
        <f t="shared" ref="R3:R15" si="2">IF(Q3-N3&lt;=0, 0, Q3-N3)</f>
        <v>8.9999999999999964</v>
      </c>
      <c r="S3">
        <f t="shared" ref="S3:S15" si="3">I3-P3</f>
        <v>20.259999999999998</v>
      </c>
      <c r="T3">
        <f>S3*Constants!$B$2</f>
        <v>56.727999999999987</v>
      </c>
      <c r="V3">
        <f t="shared" ref="V3:V15" si="4">IF(B3="E",1,0)</f>
        <v>0</v>
      </c>
      <c r="W3">
        <f t="shared" ref="W3:W15" si="5">IF(B3=10,1,0)</f>
        <v>0</v>
      </c>
      <c r="AA3" s="8"/>
      <c r="AJ3" s="4"/>
    </row>
    <row r="4" spans="1:40" x14ac:dyDescent="0.25">
      <c r="A4">
        <v>3</v>
      </c>
      <c r="B4">
        <v>7</v>
      </c>
      <c r="C4" t="s">
        <v>50</v>
      </c>
      <c r="D4" s="16" t="s">
        <v>274</v>
      </c>
      <c r="F4">
        <v>32.700000000000003</v>
      </c>
      <c r="G4">
        <v>270</v>
      </c>
      <c r="H4">
        <f>1.2*5</f>
        <v>6</v>
      </c>
      <c r="I4">
        <v>23.26</v>
      </c>
      <c r="L4">
        <f>Constants!$B$2</f>
        <v>2.8</v>
      </c>
      <c r="M4">
        <f t="shared" si="0"/>
        <v>270</v>
      </c>
      <c r="N4">
        <f>P4*Constants!$E$2</f>
        <v>10.199999999999999</v>
      </c>
      <c r="P4">
        <f t="shared" si="1"/>
        <v>6</v>
      </c>
      <c r="Q4">
        <f>P4*Constants!$B$3</f>
        <v>25.199999999999996</v>
      </c>
      <c r="R4">
        <f t="shared" si="2"/>
        <v>14.999999999999996</v>
      </c>
      <c r="S4">
        <f t="shared" si="3"/>
        <v>17.260000000000002</v>
      </c>
      <c r="T4">
        <f>S4*Constants!$B$2</f>
        <v>48.328000000000003</v>
      </c>
      <c r="V4">
        <f t="shared" si="4"/>
        <v>0</v>
      </c>
      <c r="W4">
        <f t="shared" si="5"/>
        <v>0</v>
      </c>
      <c r="AA4" s="8"/>
      <c r="AJ4" s="4"/>
    </row>
    <row r="5" spans="1:40" x14ac:dyDescent="0.25">
      <c r="A5">
        <v>4</v>
      </c>
      <c r="B5">
        <v>7</v>
      </c>
      <c r="C5" t="s">
        <v>50</v>
      </c>
      <c r="D5" s="16" t="s">
        <v>275</v>
      </c>
      <c r="F5">
        <v>31.62</v>
      </c>
      <c r="G5">
        <v>270</v>
      </c>
      <c r="H5">
        <f>5*1.2</f>
        <v>6</v>
      </c>
      <c r="I5">
        <v>22.96</v>
      </c>
      <c r="L5">
        <f>Constants!$B$2</f>
        <v>2.8</v>
      </c>
      <c r="M5">
        <f t="shared" si="0"/>
        <v>270</v>
      </c>
      <c r="N5">
        <f>P5*Constants!$E$2</f>
        <v>10.199999999999999</v>
      </c>
      <c r="P5">
        <f t="shared" si="1"/>
        <v>6</v>
      </c>
      <c r="Q5">
        <f>P5*Constants!$B$3</f>
        <v>25.199999999999996</v>
      </c>
      <c r="R5">
        <f t="shared" si="2"/>
        <v>14.999999999999996</v>
      </c>
      <c r="S5">
        <f t="shared" si="3"/>
        <v>16.96</v>
      </c>
      <c r="T5">
        <f>S5*Constants!$B$2</f>
        <v>47.488</v>
      </c>
      <c r="V5">
        <f t="shared" si="4"/>
        <v>0</v>
      </c>
      <c r="W5">
        <f t="shared" si="5"/>
        <v>0</v>
      </c>
      <c r="AA5" s="8"/>
      <c r="AJ5" s="4"/>
    </row>
    <row r="6" spans="1:40" x14ac:dyDescent="0.25">
      <c r="A6">
        <v>5</v>
      </c>
      <c r="B6">
        <v>7</v>
      </c>
      <c r="C6" t="s">
        <v>50</v>
      </c>
      <c r="D6" s="16" t="s">
        <v>276</v>
      </c>
      <c r="F6">
        <v>18.45</v>
      </c>
      <c r="G6">
        <v>90</v>
      </c>
      <c r="H6">
        <v>2</v>
      </c>
      <c r="I6">
        <v>18.649999999999999</v>
      </c>
      <c r="L6">
        <f>Constants!$B$2</f>
        <v>2.8</v>
      </c>
      <c r="M6">
        <f t="shared" si="0"/>
        <v>90</v>
      </c>
      <c r="N6">
        <f>P6*Constants!$E$2</f>
        <v>3.4</v>
      </c>
      <c r="P6">
        <f t="shared" si="1"/>
        <v>2</v>
      </c>
      <c r="Q6">
        <f>P6*Constants!$B$3</f>
        <v>8.3999999999999986</v>
      </c>
      <c r="R6">
        <f t="shared" si="2"/>
        <v>4.9999999999999982</v>
      </c>
      <c r="S6">
        <f t="shared" si="3"/>
        <v>16.649999999999999</v>
      </c>
      <c r="T6">
        <f>S6*Constants!$B$2</f>
        <v>46.61999999999999</v>
      </c>
      <c r="V6">
        <f t="shared" si="4"/>
        <v>0</v>
      </c>
      <c r="W6">
        <f t="shared" si="5"/>
        <v>0</v>
      </c>
      <c r="AA6" s="8"/>
      <c r="AJ6" s="4"/>
    </row>
    <row r="7" spans="1:40" x14ac:dyDescent="0.25">
      <c r="A7">
        <v>6</v>
      </c>
      <c r="B7">
        <v>7</v>
      </c>
      <c r="C7" t="s">
        <v>67</v>
      </c>
      <c r="D7" s="16" t="s">
        <v>277</v>
      </c>
      <c r="F7">
        <v>20.82</v>
      </c>
      <c r="G7">
        <v>90</v>
      </c>
      <c r="H7">
        <f>1.2*3.5</f>
        <v>4.2</v>
      </c>
      <c r="I7">
        <v>21.05</v>
      </c>
      <c r="L7">
        <f>Constants!$B$2</f>
        <v>2.8</v>
      </c>
      <c r="M7">
        <f t="shared" si="0"/>
        <v>90</v>
      </c>
      <c r="N7">
        <f>P7*Constants!$E$2</f>
        <v>7.14</v>
      </c>
      <c r="P7">
        <f t="shared" si="1"/>
        <v>4.2</v>
      </c>
      <c r="Q7">
        <f>P7*Constants!$B$3</f>
        <v>17.639999999999997</v>
      </c>
      <c r="R7">
        <f t="shared" si="2"/>
        <v>10.499999999999996</v>
      </c>
      <c r="S7">
        <f t="shared" si="3"/>
        <v>16.850000000000001</v>
      </c>
      <c r="T7">
        <f>S7*Constants!$B$2</f>
        <v>47.18</v>
      </c>
      <c r="V7">
        <f t="shared" si="4"/>
        <v>0</v>
      </c>
      <c r="W7">
        <f t="shared" si="5"/>
        <v>0</v>
      </c>
      <c r="AA7" s="8"/>
      <c r="AJ7" s="4"/>
    </row>
    <row r="8" spans="1:40" x14ac:dyDescent="0.25">
      <c r="A8">
        <v>7</v>
      </c>
      <c r="B8">
        <v>7</v>
      </c>
      <c r="C8" t="s">
        <v>50</v>
      </c>
      <c r="D8" s="16" t="s">
        <v>278</v>
      </c>
      <c r="E8" s="16"/>
      <c r="F8">
        <v>11.69</v>
      </c>
      <c r="G8" t="s">
        <v>44</v>
      </c>
      <c r="H8">
        <v>0</v>
      </c>
      <c r="I8">
        <v>14.1</v>
      </c>
      <c r="L8">
        <f>Constants!$B$2</f>
        <v>2.8</v>
      </c>
      <c r="M8" t="str">
        <f t="shared" si="0"/>
        <v>N/A</v>
      </c>
      <c r="N8">
        <f>P8*Constants!$E$2</f>
        <v>0</v>
      </c>
      <c r="P8">
        <f t="shared" si="1"/>
        <v>0</v>
      </c>
      <c r="Q8">
        <f>P8*Constants!$B$3</f>
        <v>0</v>
      </c>
      <c r="R8">
        <f t="shared" si="2"/>
        <v>0</v>
      </c>
      <c r="S8">
        <f t="shared" si="3"/>
        <v>14.1</v>
      </c>
      <c r="T8">
        <f>S8*Constants!$B$2</f>
        <v>39.479999999999997</v>
      </c>
      <c r="V8">
        <f t="shared" si="4"/>
        <v>0</v>
      </c>
      <c r="W8">
        <f t="shared" si="5"/>
        <v>0</v>
      </c>
      <c r="AA8" s="8"/>
      <c r="AJ8" s="4"/>
    </row>
    <row r="9" spans="1:40" x14ac:dyDescent="0.25">
      <c r="A9">
        <v>8</v>
      </c>
      <c r="B9">
        <v>7</v>
      </c>
      <c r="C9" t="s">
        <v>71</v>
      </c>
      <c r="D9" s="16" t="s">
        <v>279</v>
      </c>
      <c r="E9" s="16"/>
      <c r="F9">
        <v>22.91</v>
      </c>
      <c r="G9">
        <v>90</v>
      </c>
      <c r="H9">
        <v>4.8</v>
      </c>
      <c r="I9">
        <f>1.2*2*(4+5.5)</f>
        <v>22.8</v>
      </c>
      <c r="L9">
        <f>Constants!$B$2</f>
        <v>2.8</v>
      </c>
      <c r="M9">
        <f t="shared" si="0"/>
        <v>90</v>
      </c>
      <c r="N9">
        <f>P9*Constants!$E$2</f>
        <v>8.16</v>
      </c>
      <c r="P9">
        <f t="shared" si="1"/>
        <v>4.8</v>
      </c>
      <c r="Q9">
        <f>P9*Constants!$B$3</f>
        <v>20.159999999999997</v>
      </c>
      <c r="R9">
        <f t="shared" si="2"/>
        <v>11.999999999999996</v>
      </c>
      <c r="S9">
        <f t="shared" si="3"/>
        <v>18</v>
      </c>
      <c r="T9">
        <f>S9*Constants!$B$2</f>
        <v>50.4</v>
      </c>
      <c r="V9">
        <f t="shared" si="4"/>
        <v>0</v>
      </c>
      <c r="W9">
        <f t="shared" si="5"/>
        <v>0</v>
      </c>
      <c r="AA9" s="8"/>
      <c r="AJ9" s="4"/>
    </row>
    <row r="10" spans="1:40" x14ac:dyDescent="0.25">
      <c r="A10">
        <v>9</v>
      </c>
      <c r="B10">
        <v>7</v>
      </c>
      <c r="C10" t="s">
        <v>54</v>
      </c>
      <c r="D10" s="16" t="s">
        <v>280</v>
      </c>
      <c r="F10">
        <v>14.41</v>
      </c>
      <c r="G10">
        <v>90</v>
      </c>
      <c r="H10">
        <v>2.4</v>
      </c>
      <c r="I10">
        <v>17.75</v>
      </c>
      <c r="L10">
        <f>Constants!$B$2</f>
        <v>2.8</v>
      </c>
      <c r="M10">
        <f t="shared" si="0"/>
        <v>90</v>
      </c>
      <c r="N10">
        <f>P10*Constants!$E$2</f>
        <v>4.08</v>
      </c>
      <c r="P10">
        <f t="shared" si="1"/>
        <v>2.4</v>
      </c>
      <c r="Q10">
        <f>P10*Constants!$B$3</f>
        <v>10.079999999999998</v>
      </c>
      <c r="R10">
        <f t="shared" si="2"/>
        <v>5.9999999999999982</v>
      </c>
      <c r="S10">
        <f t="shared" si="3"/>
        <v>15.35</v>
      </c>
      <c r="T10">
        <f>S10*Constants!$B$2</f>
        <v>42.98</v>
      </c>
      <c r="V10">
        <f t="shared" si="4"/>
        <v>0</v>
      </c>
      <c r="W10">
        <f t="shared" si="5"/>
        <v>0</v>
      </c>
      <c r="AA10" s="8"/>
      <c r="AJ10" s="4"/>
    </row>
    <row r="11" spans="1:40" x14ac:dyDescent="0.25">
      <c r="A11">
        <v>10</v>
      </c>
      <c r="B11">
        <v>7</v>
      </c>
      <c r="C11" t="s">
        <v>54</v>
      </c>
      <c r="D11" s="16" t="s">
        <v>281</v>
      </c>
      <c r="F11">
        <v>18.3</v>
      </c>
      <c r="G11">
        <v>90</v>
      </c>
      <c r="H11">
        <v>3</v>
      </c>
      <c r="I11">
        <v>18.95</v>
      </c>
      <c r="L11">
        <f>Constants!$B$2</f>
        <v>2.8</v>
      </c>
      <c r="M11">
        <f t="shared" si="0"/>
        <v>90</v>
      </c>
      <c r="N11">
        <f>P11*Constants!$E$2</f>
        <v>5.0999999999999996</v>
      </c>
      <c r="P11">
        <f t="shared" si="1"/>
        <v>3</v>
      </c>
      <c r="Q11">
        <f>P11*Constants!$B$3</f>
        <v>12.599999999999998</v>
      </c>
      <c r="R11">
        <f t="shared" si="2"/>
        <v>7.4999999999999982</v>
      </c>
      <c r="S11">
        <f t="shared" si="3"/>
        <v>15.95</v>
      </c>
      <c r="T11">
        <f>S11*Constants!$B$2</f>
        <v>44.66</v>
      </c>
      <c r="V11">
        <f t="shared" si="4"/>
        <v>0</v>
      </c>
      <c r="W11">
        <f t="shared" si="5"/>
        <v>0</v>
      </c>
      <c r="AA11" s="8"/>
      <c r="AJ11" s="4"/>
    </row>
    <row r="12" spans="1:40" x14ac:dyDescent="0.25">
      <c r="A12">
        <v>11</v>
      </c>
      <c r="B12">
        <v>7</v>
      </c>
      <c r="C12" t="s">
        <v>54</v>
      </c>
      <c r="D12" s="16" t="s">
        <v>282</v>
      </c>
      <c r="F12">
        <v>18.46</v>
      </c>
      <c r="G12">
        <v>90</v>
      </c>
      <c r="H12">
        <v>3</v>
      </c>
      <c r="I12">
        <v>18.649999999999999</v>
      </c>
      <c r="L12">
        <f>Constants!$B$2</f>
        <v>2.8</v>
      </c>
      <c r="M12">
        <f t="shared" si="0"/>
        <v>90</v>
      </c>
      <c r="N12">
        <f>P12*Constants!$E$2</f>
        <v>5.0999999999999996</v>
      </c>
      <c r="P12">
        <f t="shared" si="1"/>
        <v>3</v>
      </c>
      <c r="Q12">
        <f>P12*Constants!$B$3</f>
        <v>12.599999999999998</v>
      </c>
      <c r="R12">
        <f t="shared" si="2"/>
        <v>7.4999999999999982</v>
      </c>
      <c r="S12">
        <f t="shared" si="3"/>
        <v>15.649999999999999</v>
      </c>
      <c r="T12">
        <f>S12*Constants!$B$2</f>
        <v>43.819999999999993</v>
      </c>
      <c r="V12">
        <f t="shared" si="4"/>
        <v>0</v>
      </c>
      <c r="W12">
        <f t="shared" si="5"/>
        <v>0</v>
      </c>
      <c r="AA12" s="8"/>
      <c r="AJ12" s="4"/>
    </row>
    <row r="13" spans="1:40" x14ac:dyDescent="0.25">
      <c r="A13">
        <v>12</v>
      </c>
      <c r="B13">
        <v>7</v>
      </c>
      <c r="C13" t="s">
        <v>54</v>
      </c>
      <c r="D13" s="16" t="s">
        <v>283</v>
      </c>
      <c r="F13">
        <v>14.57</v>
      </c>
      <c r="G13">
        <v>90</v>
      </c>
      <c r="H13">
        <v>2.4</v>
      </c>
      <c r="I13">
        <v>17.45</v>
      </c>
      <c r="L13">
        <f>Constants!$B$2</f>
        <v>2.8</v>
      </c>
      <c r="M13">
        <f t="shared" si="0"/>
        <v>90</v>
      </c>
      <c r="N13">
        <f>P13*Constants!$E$2</f>
        <v>4.08</v>
      </c>
      <c r="P13">
        <f t="shared" si="1"/>
        <v>2.4</v>
      </c>
      <c r="Q13">
        <f>P13*Constants!$B$3</f>
        <v>10.079999999999998</v>
      </c>
      <c r="R13">
        <f t="shared" si="2"/>
        <v>5.9999999999999982</v>
      </c>
      <c r="S13">
        <f t="shared" si="3"/>
        <v>15.049999999999999</v>
      </c>
      <c r="T13">
        <f>S13*Constants!$B$2</f>
        <v>42.139999999999993</v>
      </c>
      <c r="V13">
        <f t="shared" si="4"/>
        <v>0</v>
      </c>
      <c r="W13">
        <f t="shared" si="5"/>
        <v>0</v>
      </c>
      <c r="AA13" s="8"/>
      <c r="AJ13" s="4"/>
    </row>
    <row r="14" spans="1:40" x14ac:dyDescent="0.25">
      <c r="A14">
        <v>13</v>
      </c>
      <c r="B14">
        <v>7</v>
      </c>
      <c r="C14" t="s">
        <v>54</v>
      </c>
      <c r="D14" s="16" t="s">
        <v>284</v>
      </c>
      <c r="F14">
        <v>18.45</v>
      </c>
      <c r="G14">
        <v>90</v>
      </c>
      <c r="H14">
        <v>3</v>
      </c>
      <c r="I14">
        <v>18.649999999999999</v>
      </c>
      <c r="L14">
        <f>Constants!$B$2</f>
        <v>2.8</v>
      </c>
      <c r="M14">
        <f t="shared" si="0"/>
        <v>90</v>
      </c>
      <c r="N14">
        <f>P14*Constants!$E$2</f>
        <v>5.0999999999999996</v>
      </c>
      <c r="P14">
        <f t="shared" si="1"/>
        <v>3</v>
      </c>
      <c r="Q14">
        <f>P14*Constants!$B$3</f>
        <v>12.599999999999998</v>
      </c>
      <c r="R14">
        <f t="shared" si="2"/>
        <v>7.4999999999999982</v>
      </c>
      <c r="S14">
        <f t="shared" si="3"/>
        <v>15.649999999999999</v>
      </c>
      <c r="T14">
        <f>S14*Constants!$B$2</f>
        <v>43.819999999999993</v>
      </c>
      <c r="V14">
        <f t="shared" si="4"/>
        <v>0</v>
      </c>
      <c r="W14">
        <f t="shared" si="5"/>
        <v>0</v>
      </c>
      <c r="AA14" s="8"/>
      <c r="AJ14" s="4"/>
    </row>
    <row r="15" spans="1:40" x14ac:dyDescent="0.25">
      <c r="A15">
        <v>14</v>
      </c>
      <c r="B15">
        <v>7</v>
      </c>
      <c r="C15" t="s">
        <v>54</v>
      </c>
      <c r="D15" s="16" t="s">
        <v>285</v>
      </c>
      <c r="F15">
        <v>18.45</v>
      </c>
      <c r="G15">
        <v>90</v>
      </c>
      <c r="H15">
        <v>3</v>
      </c>
      <c r="I15">
        <v>18.649999999999999</v>
      </c>
      <c r="L15">
        <f>Constants!$B$2</f>
        <v>2.8</v>
      </c>
      <c r="M15">
        <f t="shared" si="0"/>
        <v>90</v>
      </c>
      <c r="N15">
        <f>P15*Constants!$E$2</f>
        <v>5.0999999999999996</v>
      </c>
      <c r="P15">
        <f t="shared" si="1"/>
        <v>3</v>
      </c>
      <c r="Q15">
        <f>P15*Constants!$B$3</f>
        <v>12.599999999999998</v>
      </c>
      <c r="R15">
        <f t="shared" si="2"/>
        <v>7.4999999999999982</v>
      </c>
      <c r="S15">
        <f t="shared" si="3"/>
        <v>15.649999999999999</v>
      </c>
      <c r="T15">
        <f>S15*Constants!$B$2</f>
        <v>43.819999999999993</v>
      </c>
      <c r="V15">
        <f t="shared" si="4"/>
        <v>0</v>
      </c>
      <c r="W15">
        <f t="shared" si="5"/>
        <v>0</v>
      </c>
      <c r="AA15" s="8"/>
      <c r="AJ15" s="4"/>
    </row>
    <row r="16" spans="1:40" x14ac:dyDescent="0.25">
      <c r="A16">
        <v>15</v>
      </c>
      <c r="B16">
        <v>7</v>
      </c>
      <c r="C16" t="s">
        <v>62</v>
      </c>
      <c r="D16" s="16" t="s">
        <v>823</v>
      </c>
      <c r="F16">
        <v>93.18</v>
      </c>
      <c r="G16" t="s">
        <v>44</v>
      </c>
      <c r="H16">
        <v>0</v>
      </c>
      <c r="I16">
        <v>66.28</v>
      </c>
      <c r="L16">
        <f>Constants!$B$2</f>
        <v>2.8</v>
      </c>
      <c r="M16" t="str">
        <f t="shared" ref="M16" si="6">IF(N16&gt;0,G16,"N/A")</f>
        <v>N/A</v>
      </c>
      <c r="N16">
        <f>P16*Constants!$E$2</f>
        <v>0</v>
      </c>
      <c r="P16">
        <f t="shared" ref="P16" si="7">H16</f>
        <v>0</v>
      </c>
      <c r="Q16">
        <f>P16*Constants!$B$3</f>
        <v>0</v>
      </c>
      <c r="R16">
        <f t="shared" ref="R16" si="8">IF(Q16-N16&lt;=0, 0, Q16-N16)</f>
        <v>0</v>
      </c>
      <c r="S16">
        <f t="shared" ref="S16" si="9">I16-P16</f>
        <v>66.28</v>
      </c>
      <c r="T16">
        <f>S16*Constants!$B$2</f>
        <v>185.584</v>
      </c>
      <c r="V16">
        <f t="shared" ref="V16" si="10">IF(B16="E",1,0)</f>
        <v>0</v>
      </c>
      <c r="W16">
        <f t="shared" ref="W16" si="11">IF(B16=10,1,0)</f>
        <v>0</v>
      </c>
      <c r="AA16" s="8"/>
      <c r="AJ16" s="4"/>
    </row>
    <row r="17" spans="4:4" x14ac:dyDescent="0.25">
      <c r="D17" s="15"/>
    </row>
    <row r="18" spans="4:4" x14ac:dyDescent="0.25">
      <c r="D18" s="15"/>
    </row>
    <row r="19" spans="4:4" x14ac:dyDescent="0.25">
      <c r="D19" s="15"/>
    </row>
    <row r="20" spans="4:4" x14ac:dyDescent="0.25">
      <c r="D20" s="15"/>
    </row>
    <row r="21" spans="4:4" x14ac:dyDescent="0.25">
      <c r="D21" s="15"/>
    </row>
    <row r="22" spans="4:4" x14ac:dyDescent="0.25">
      <c r="D22" s="15"/>
    </row>
    <row r="23" spans="4:4" x14ac:dyDescent="0.25">
      <c r="D23" s="15"/>
    </row>
    <row r="24" spans="4:4" x14ac:dyDescent="0.25">
      <c r="D24" s="15"/>
    </row>
    <row r="25" spans="4:4" x14ac:dyDescent="0.25">
      <c r="D25" s="15"/>
    </row>
    <row r="26" spans="4:4" x14ac:dyDescent="0.25">
      <c r="D26" s="15"/>
    </row>
    <row r="27" spans="4:4" x14ac:dyDescent="0.25">
      <c r="D27" s="15"/>
    </row>
    <row r="28" spans="4:4" x14ac:dyDescent="0.25">
      <c r="D28" s="15"/>
    </row>
    <row r="29" spans="4:4" x14ac:dyDescent="0.25">
      <c r="D29" s="15"/>
    </row>
    <row r="30" spans="4:4" x14ac:dyDescent="0.25">
      <c r="D30" s="15"/>
    </row>
    <row r="31" spans="4:4" x14ac:dyDescent="0.25">
      <c r="D31" s="15"/>
    </row>
    <row r="32" spans="4:4"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4"/>
    </row>
    <row r="427" spans="4:4" x14ac:dyDescent="0.25">
      <c r="D427" s="14"/>
    </row>
    <row r="428" spans="4:4" x14ac:dyDescent="0.25">
      <c r="D428" s="13"/>
    </row>
    <row r="429" spans="4:4" x14ac:dyDescent="0.25">
      <c r="D429" s="13"/>
    </row>
    <row r="430" spans="4:4" x14ac:dyDescent="0.25">
      <c r="D430" s="13"/>
    </row>
    <row r="431" spans="4:4" x14ac:dyDescent="0.25">
      <c r="D431" s="13"/>
    </row>
    <row r="432" spans="4:4" x14ac:dyDescent="0.25">
      <c r="D432" s="13"/>
    </row>
    <row r="433" spans="4:4" x14ac:dyDescent="0.25">
      <c r="D433" s="13"/>
    </row>
    <row r="434" spans="4:4" x14ac:dyDescent="0.25">
      <c r="D434" s="13"/>
    </row>
    <row r="435" spans="4:4" x14ac:dyDescent="0.25">
      <c r="D435" s="13"/>
    </row>
  </sheetData>
  <phoneticPr fontId="5" type="noConversion"/>
  <pageMargins left="0.7" right="0.7" top="0.78740157499999996" bottom="0.78740157499999996"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23"/>
  <sheetViews>
    <sheetView zoomScaleNormal="100" workbookViewId="0">
      <pane xSplit="4" ySplit="1" topLeftCell="I2" activePane="bottomRight" state="frozen"/>
      <selection pane="topRight" activeCell="F1" sqref="F1"/>
      <selection pane="bottomLeft" activeCell="A2" sqref="A2"/>
      <selection pane="bottomRight" activeCell="C2" sqref="C2:C17"/>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54</v>
      </c>
      <c r="D2" s="16" t="s">
        <v>286</v>
      </c>
      <c r="F2">
        <v>20.16</v>
      </c>
      <c r="G2">
        <v>270</v>
      </c>
      <c r="H2">
        <f>1.2*2.5</f>
        <v>3</v>
      </c>
      <c r="I2">
        <v>19.850000000000001</v>
      </c>
      <c r="L2">
        <f>Constants!$B$2</f>
        <v>2.8</v>
      </c>
      <c r="M2">
        <f t="shared" ref="M2:M15" si="0">IF(N2&gt;0,G2,"N/A")</f>
        <v>270</v>
      </c>
      <c r="N2">
        <f>P2*Constants!$E$2</f>
        <v>5.0999999999999996</v>
      </c>
      <c r="P2">
        <f>H2</f>
        <v>3</v>
      </c>
      <c r="Q2">
        <f>P2*Constants!$B$3</f>
        <v>12.599999999999998</v>
      </c>
      <c r="R2">
        <f>IF(Q2-N2&lt;=0, 0, Q2-N2)</f>
        <v>7.4999999999999982</v>
      </c>
      <c r="S2">
        <f>I2-P2</f>
        <v>16.850000000000001</v>
      </c>
      <c r="T2">
        <f>S2*Constants!$B$2</f>
        <v>47.18</v>
      </c>
      <c r="V2">
        <f>IF(B2="E",1,0)</f>
        <v>0</v>
      </c>
      <c r="W2">
        <f>IF(B2=10,1,0)</f>
        <v>0</v>
      </c>
      <c r="AA2" s="8"/>
      <c r="AJ2" s="4"/>
    </row>
    <row r="3" spans="1:40" x14ac:dyDescent="0.25">
      <c r="A3">
        <v>2</v>
      </c>
      <c r="B3">
        <v>7</v>
      </c>
      <c r="C3" t="s">
        <v>59</v>
      </c>
      <c r="D3" s="16" t="s">
        <v>287</v>
      </c>
      <c r="F3">
        <v>24.24</v>
      </c>
      <c r="G3">
        <v>270</v>
      </c>
      <c r="H3">
        <v>3</v>
      </c>
      <c r="I3">
        <v>23.86</v>
      </c>
      <c r="L3">
        <f>Constants!$B$2</f>
        <v>2.8</v>
      </c>
      <c r="M3">
        <f t="shared" si="0"/>
        <v>270</v>
      </c>
      <c r="N3">
        <f>P3*Constants!$E$2</f>
        <v>5.0999999999999996</v>
      </c>
      <c r="P3">
        <f t="shared" ref="P3:P15" si="1">H3</f>
        <v>3</v>
      </c>
      <c r="Q3">
        <f>P3*Constants!$B$3</f>
        <v>12.599999999999998</v>
      </c>
      <c r="R3">
        <f t="shared" ref="R3:R15" si="2">IF(Q3-N3&lt;=0, 0, Q3-N3)</f>
        <v>7.4999999999999982</v>
      </c>
      <c r="S3">
        <f t="shared" ref="S3:S15" si="3">I3-P3</f>
        <v>20.86</v>
      </c>
      <c r="T3">
        <f>S3*Constants!$B$2</f>
        <v>58.407999999999994</v>
      </c>
      <c r="V3">
        <f t="shared" ref="V3:V15" si="4">IF(B3="E",1,0)</f>
        <v>0</v>
      </c>
      <c r="W3">
        <f t="shared" ref="W3:W15" si="5">IF(B3=10,1,0)</f>
        <v>0</v>
      </c>
      <c r="AA3" s="8"/>
      <c r="AJ3" s="4"/>
    </row>
    <row r="4" spans="1:40" x14ac:dyDescent="0.25">
      <c r="A4">
        <v>3</v>
      </c>
      <c r="B4">
        <v>7</v>
      </c>
      <c r="C4" t="s">
        <v>54</v>
      </c>
      <c r="D4" s="16" t="s">
        <v>288</v>
      </c>
      <c r="F4">
        <v>20.16</v>
      </c>
      <c r="G4">
        <v>270</v>
      </c>
      <c r="H4">
        <v>3</v>
      </c>
      <c r="I4">
        <v>19.850000000000001</v>
      </c>
      <c r="L4">
        <f>Constants!$B$2</f>
        <v>2.8</v>
      </c>
      <c r="M4">
        <f t="shared" si="0"/>
        <v>270</v>
      </c>
      <c r="N4">
        <f>P4*Constants!$E$2</f>
        <v>5.0999999999999996</v>
      </c>
      <c r="P4">
        <f t="shared" si="1"/>
        <v>3</v>
      </c>
      <c r="Q4">
        <f>P4*Constants!$B$3</f>
        <v>12.599999999999998</v>
      </c>
      <c r="R4">
        <f t="shared" si="2"/>
        <v>7.4999999999999982</v>
      </c>
      <c r="S4">
        <f t="shared" si="3"/>
        <v>16.850000000000001</v>
      </c>
      <c r="T4">
        <f>S4*Constants!$B$2</f>
        <v>47.18</v>
      </c>
      <c r="V4">
        <f t="shared" si="4"/>
        <v>0</v>
      </c>
      <c r="W4">
        <f t="shared" si="5"/>
        <v>0</v>
      </c>
      <c r="AA4" s="8"/>
      <c r="AJ4" s="4"/>
    </row>
    <row r="5" spans="1:40" x14ac:dyDescent="0.25">
      <c r="A5">
        <v>4</v>
      </c>
      <c r="B5">
        <v>7</v>
      </c>
      <c r="C5" t="s">
        <v>824</v>
      </c>
      <c r="D5" s="16" t="s">
        <v>289</v>
      </c>
      <c r="F5">
        <v>31.91</v>
      </c>
      <c r="G5">
        <v>270</v>
      </c>
      <c r="H5">
        <f>1.2*4</f>
        <v>4.8</v>
      </c>
      <c r="I5">
        <v>23.79</v>
      </c>
      <c r="L5">
        <f>Constants!$B$2</f>
        <v>2.8</v>
      </c>
      <c r="M5">
        <f t="shared" si="0"/>
        <v>270</v>
      </c>
      <c r="N5">
        <f>P5*Constants!$E$2</f>
        <v>8.16</v>
      </c>
      <c r="P5">
        <f t="shared" si="1"/>
        <v>4.8</v>
      </c>
      <c r="Q5">
        <f>P5*Constants!$B$3</f>
        <v>20.159999999999997</v>
      </c>
      <c r="R5">
        <f t="shared" si="2"/>
        <v>11.999999999999996</v>
      </c>
      <c r="S5">
        <f t="shared" si="3"/>
        <v>18.989999999999998</v>
      </c>
      <c r="T5">
        <f>S5*Constants!$B$2</f>
        <v>53.17199999999999</v>
      </c>
      <c r="V5">
        <f t="shared" si="4"/>
        <v>0</v>
      </c>
      <c r="W5">
        <f t="shared" si="5"/>
        <v>0</v>
      </c>
      <c r="AA5" s="8"/>
      <c r="AJ5" s="4"/>
    </row>
    <row r="6" spans="1:40" x14ac:dyDescent="0.25">
      <c r="A6">
        <v>5</v>
      </c>
      <c r="B6">
        <v>7</v>
      </c>
      <c r="C6" t="s">
        <v>824</v>
      </c>
      <c r="D6" s="16" t="s">
        <v>290</v>
      </c>
      <c r="F6">
        <v>32.799999999999997</v>
      </c>
      <c r="G6">
        <v>270</v>
      </c>
      <c r="H6">
        <f>1.2*4</f>
        <v>4.8</v>
      </c>
      <c r="I6">
        <v>24.04</v>
      </c>
      <c r="L6">
        <f>Constants!$B$2</f>
        <v>2.8</v>
      </c>
      <c r="M6">
        <f t="shared" si="0"/>
        <v>270</v>
      </c>
      <c r="N6">
        <f>P6*Constants!$E$2</f>
        <v>8.16</v>
      </c>
      <c r="P6">
        <f t="shared" si="1"/>
        <v>4.8</v>
      </c>
      <c r="Q6">
        <f>P6*Constants!$B$3</f>
        <v>20.159999999999997</v>
      </c>
      <c r="R6">
        <f t="shared" si="2"/>
        <v>11.999999999999996</v>
      </c>
      <c r="S6">
        <f t="shared" si="3"/>
        <v>19.239999999999998</v>
      </c>
      <c r="T6">
        <f>S6*Constants!$B$2</f>
        <v>53.871999999999993</v>
      </c>
      <c r="V6">
        <f t="shared" si="4"/>
        <v>0</v>
      </c>
      <c r="W6">
        <f t="shared" si="5"/>
        <v>0</v>
      </c>
      <c r="AA6" s="8"/>
      <c r="AJ6" s="4"/>
    </row>
    <row r="7" spans="1:40" x14ac:dyDescent="0.25">
      <c r="A7">
        <v>6</v>
      </c>
      <c r="B7">
        <v>7</v>
      </c>
      <c r="C7" t="s">
        <v>824</v>
      </c>
      <c r="D7" s="16" t="s">
        <v>291</v>
      </c>
      <c r="F7">
        <v>32.950000000000003</v>
      </c>
      <c r="G7">
        <v>270</v>
      </c>
      <c r="H7">
        <f>1.2*4</f>
        <v>4.8</v>
      </c>
      <c r="I7">
        <v>23.73</v>
      </c>
      <c r="L7">
        <f>Constants!$B$2</f>
        <v>2.8</v>
      </c>
      <c r="M7">
        <f t="shared" si="0"/>
        <v>270</v>
      </c>
      <c r="N7">
        <f>P7*Constants!$E$2</f>
        <v>8.16</v>
      </c>
      <c r="P7">
        <f t="shared" si="1"/>
        <v>4.8</v>
      </c>
      <c r="Q7">
        <f>P7*Constants!$B$3</f>
        <v>20.159999999999997</v>
      </c>
      <c r="R7">
        <f t="shared" si="2"/>
        <v>11.999999999999996</v>
      </c>
      <c r="S7">
        <f t="shared" si="3"/>
        <v>18.93</v>
      </c>
      <c r="T7">
        <f>S7*Constants!$B$2</f>
        <v>53.003999999999998</v>
      </c>
      <c r="V7">
        <f t="shared" si="4"/>
        <v>0</v>
      </c>
      <c r="W7">
        <f t="shared" si="5"/>
        <v>0</v>
      </c>
      <c r="AA7" s="8"/>
      <c r="AJ7" s="4"/>
    </row>
    <row r="8" spans="1:40" x14ac:dyDescent="0.25">
      <c r="A8">
        <v>7</v>
      </c>
      <c r="B8">
        <v>7</v>
      </c>
      <c r="C8" t="s">
        <v>824</v>
      </c>
      <c r="D8" s="16" t="s">
        <v>292</v>
      </c>
      <c r="E8" s="16"/>
      <c r="F8">
        <v>32.96</v>
      </c>
      <c r="G8">
        <v>270</v>
      </c>
      <c r="H8">
        <v>4.8</v>
      </c>
      <c r="I8">
        <v>23.75</v>
      </c>
      <c r="L8">
        <f>Constants!$B$2</f>
        <v>2.8</v>
      </c>
      <c r="M8">
        <f t="shared" si="0"/>
        <v>270</v>
      </c>
      <c r="N8">
        <f>P8*Constants!$E$2</f>
        <v>8.16</v>
      </c>
      <c r="P8">
        <f t="shared" si="1"/>
        <v>4.8</v>
      </c>
      <c r="Q8">
        <f>P8*Constants!$B$3</f>
        <v>20.159999999999997</v>
      </c>
      <c r="R8">
        <f t="shared" si="2"/>
        <v>11.999999999999996</v>
      </c>
      <c r="S8">
        <f t="shared" si="3"/>
        <v>18.95</v>
      </c>
      <c r="T8">
        <f>S8*Constants!$B$2</f>
        <v>53.059999999999995</v>
      </c>
      <c r="V8">
        <f t="shared" si="4"/>
        <v>0</v>
      </c>
      <c r="W8">
        <f t="shared" si="5"/>
        <v>0</v>
      </c>
      <c r="AA8" s="8"/>
      <c r="AJ8" s="4"/>
    </row>
    <row r="9" spans="1:40" x14ac:dyDescent="0.25">
      <c r="A9">
        <v>8</v>
      </c>
      <c r="B9">
        <v>7</v>
      </c>
      <c r="C9" t="s">
        <v>64</v>
      </c>
      <c r="D9" s="16" t="s">
        <v>293</v>
      </c>
      <c r="E9" s="16"/>
      <c r="F9">
        <v>2.92</v>
      </c>
      <c r="G9" t="s">
        <v>44</v>
      </c>
      <c r="H9">
        <v>0</v>
      </c>
      <c r="I9">
        <v>7.42</v>
      </c>
      <c r="L9">
        <f>Constants!$B$2</f>
        <v>2.8</v>
      </c>
      <c r="M9" t="str">
        <f t="shared" si="0"/>
        <v>N/A</v>
      </c>
      <c r="N9">
        <f>P9*Constants!$E$2</f>
        <v>0</v>
      </c>
      <c r="P9">
        <f t="shared" si="1"/>
        <v>0</v>
      </c>
      <c r="Q9">
        <f>P9*Constants!$B$3</f>
        <v>0</v>
      </c>
      <c r="R9">
        <f t="shared" si="2"/>
        <v>0</v>
      </c>
      <c r="S9">
        <f t="shared" si="3"/>
        <v>7.42</v>
      </c>
      <c r="T9">
        <f>S9*Constants!$B$2</f>
        <v>20.776</v>
      </c>
      <c r="V9">
        <f t="shared" si="4"/>
        <v>0</v>
      </c>
      <c r="W9">
        <f t="shared" si="5"/>
        <v>0</v>
      </c>
      <c r="AA9" s="8"/>
      <c r="AJ9" s="4"/>
    </row>
    <row r="10" spans="1:40" x14ac:dyDescent="0.25">
      <c r="A10">
        <v>9</v>
      </c>
      <c r="B10">
        <v>7</v>
      </c>
      <c r="C10" t="s">
        <v>50</v>
      </c>
      <c r="D10" s="16" t="s">
        <v>294</v>
      </c>
      <c r="E10" s="16"/>
      <c r="F10">
        <v>16.920000000000002</v>
      </c>
      <c r="G10" t="s">
        <v>44</v>
      </c>
      <c r="H10">
        <v>0</v>
      </c>
      <c r="I10">
        <v>18.2</v>
      </c>
      <c r="L10">
        <f>Constants!$B$2</f>
        <v>2.8</v>
      </c>
      <c r="M10" t="str">
        <f t="shared" si="0"/>
        <v>N/A</v>
      </c>
      <c r="N10">
        <f>P10*Constants!$E$2</f>
        <v>0</v>
      </c>
      <c r="P10">
        <f t="shared" si="1"/>
        <v>0</v>
      </c>
      <c r="Q10">
        <f>P10*Constants!$B$3</f>
        <v>0</v>
      </c>
      <c r="R10">
        <f t="shared" si="2"/>
        <v>0</v>
      </c>
      <c r="S10">
        <f t="shared" si="3"/>
        <v>18.2</v>
      </c>
      <c r="T10">
        <f>S10*Constants!$B$2</f>
        <v>50.959999999999994</v>
      </c>
      <c r="V10">
        <f t="shared" si="4"/>
        <v>0</v>
      </c>
      <c r="W10">
        <f t="shared" si="5"/>
        <v>0</v>
      </c>
      <c r="AA10" s="8"/>
      <c r="AJ10" s="4"/>
    </row>
    <row r="11" spans="1:40" x14ac:dyDescent="0.25">
      <c r="A11">
        <v>10</v>
      </c>
      <c r="B11">
        <v>7</v>
      </c>
      <c r="C11" t="s">
        <v>62</v>
      </c>
      <c r="D11" s="16" t="s">
        <v>296</v>
      </c>
      <c r="E11" s="16"/>
      <c r="F11">
        <v>22.93</v>
      </c>
      <c r="G11" t="s">
        <v>44</v>
      </c>
      <c r="H11">
        <v>0</v>
      </c>
      <c r="I11">
        <v>20.399999999999999</v>
      </c>
      <c r="L11">
        <f>Constants!$B$2</f>
        <v>2.8</v>
      </c>
      <c r="M11" t="str">
        <f t="shared" si="0"/>
        <v>N/A</v>
      </c>
      <c r="N11">
        <f>P11*Constants!$E$2</f>
        <v>0</v>
      </c>
      <c r="P11">
        <f t="shared" si="1"/>
        <v>0</v>
      </c>
      <c r="Q11">
        <f>P11*Constants!$B$3</f>
        <v>0</v>
      </c>
      <c r="R11">
        <f t="shared" si="2"/>
        <v>0</v>
      </c>
      <c r="S11">
        <f t="shared" si="3"/>
        <v>20.399999999999999</v>
      </c>
      <c r="T11">
        <f>S11*Constants!$B$2</f>
        <v>57.11999999999999</v>
      </c>
      <c r="V11">
        <f t="shared" si="4"/>
        <v>0</v>
      </c>
      <c r="W11">
        <f t="shared" si="5"/>
        <v>0</v>
      </c>
      <c r="AA11" s="8"/>
      <c r="AJ11" s="4"/>
    </row>
    <row r="12" spans="1:40" x14ac:dyDescent="0.25">
      <c r="A12">
        <v>11</v>
      </c>
      <c r="B12">
        <v>7</v>
      </c>
      <c r="C12" t="s">
        <v>62</v>
      </c>
      <c r="D12" s="16" t="s">
        <v>295</v>
      </c>
      <c r="E12" s="16"/>
      <c r="F12">
        <v>93.22</v>
      </c>
      <c r="G12" t="s">
        <v>44</v>
      </c>
      <c r="H12">
        <v>0</v>
      </c>
      <c r="I12">
        <v>83.04</v>
      </c>
      <c r="L12">
        <f>Constants!$B$2</f>
        <v>2.8</v>
      </c>
      <c r="M12" t="str">
        <f t="shared" si="0"/>
        <v>N/A</v>
      </c>
      <c r="N12">
        <f>P12*Constants!$E$2</f>
        <v>0</v>
      </c>
      <c r="P12">
        <f t="shared" si="1"/>
        <v>0</v>
      </c>
      <c r="Q12">
        <f>P12*Constants!$B$3</f>
        <v>0</v>
      </c>
      <c r="R12">
        <f t="shared" si="2"/>
        <v>0</v>
      </c>
      <c r="S12">
        <f t="shared" si="3"/>
        <v>83.04</v>
      </c>
      <c r="T12">
        <f>S12*Constants!$B$2</f>
        <v>232.512</v>
      </c>
      <c r="V12">
        <f t="shared" si="4"/>
        <v>0</v>
      </c>
      <c r="W12">
        <f t="shared" si="5"/>
        <v>0</v>
      </c>
      <c r="AA12" s="8"/>
      <c r="AJ12" s="4"/>
    </row>
    <row r="13" spans="1:40" x14ac:dyDescent="0.25">
      <c r="A13">
        <v>12</v>
      </c>
      <c r="B13">
        <v>7</v>
      </c>
      <c r="C13" t="s">
        <v>50</v>
      </c>
      <c r="D13" s="16" t="s">
        <v>297</v>
      </c>
      <c r="F13">
        <v>17.59</v>
      </c>
      <c r="G13" t="s">
        <v>44</v>
      </c>
      <c r="H13">
        <v>0</v>
      </c>
      <c r="I13">
        <v>18.7</v>
      </c>
      <c r="L13">
        <f>Constants!$B$2</f>
        <v>2.8</v>
      </c>
      <c r="M13" t="str">
        <f t="shared" si="0"/>
        <v>N/A</v>
      </c>
      <c r="N13">
        <f>P13*Constants!$E$2</f>
        <v>0</v>
      </c>
      <c r="P13">
        <f t="shared" si="1"/>
        <v>0</v>
      </c>
      <c r="Q13">
        <f>P13*Constants!$B$3</f>
        <v>0</v>
      </c>
      <c r="R13">
        <f t="shared" si="2"/>
        <v>0</v>
      </c>
      <c r="S13">
        <f t="shared" si="3"/>
        <v>18.7</v>
      </c>
      <c r="T13">
        <f>S13*Constants!$B$2</f>
        <v>52.359999999999992</v>
      </c>
      <c r="V13">
        <f t="shared" si="4"/>
        <v>0</v>
      </c>
      <c r="W13">
        <f t="shared" si="5"/>
        <v>0</v>
      </c>
      <c r="AA13" s="8"/>
      <c r="AJ13" s="4"/>
    </row>
    <row r="14" spans="1:40" x14ac:dyDescent="0.25">
      <c r="A14">
        <v>13</v>
      </c>
      <c r="B14">
        <v>7</v>
      </c>
      <c r="C14" t="s">
        <v>55</v>
      </c>
      <c r="D14" s="16" t="s">
        <v>298</v>
      </c>
      <c r="F14">
        <v>12.35</v>
      </c>
      <c r="G14" t="s">
        <v>44</v>
      </c>
      <c r="H14">
        <v>0</v>
      </c>
      <c r="I14">
        <v>14.8</v>
      </c>
      <c r="L14">
        <f>Constants!$B$2</f>
        <v>2.8</v>
      </c>
      <c r="M14" t="str">
        <f t="shared" si="0"/>
        <v>N/A</v>
      </c>
      <c r="N14">
        <f>P14*Constants!$E$2</f>
        <v>0</v>
      </c>
      <c r="P14">
        <f t="shared" si="1"/>
        <v>0</v>
      </c>
      <c r="Q14">
        <f>P14*Constants!$B$3</f>
        <v>0</v>
      </c>
      <c r="R14">
        <f t="shared" si="2"/>
        <v>0</v>
      </c>
      <c r="S14">
        <f t="shared" si="3"/>
        <v>14.8</v>
      </c>
      <c r="T14">
        <f>S14*Constants!$B$2</f>
        <v>41.44</v>
      </c>
      <c r="V14">
        <f t="shared" si="4"/>
        <v>0</v>
      </c>
      <c r="W14">
        <f t="shared" si="5"/>
        <v>0</v>
      </c>
      <c r="AA14" s="8"/>
      <c r="AJ14" s="4"/>
    </row>
    <row r="15" spans="1:40" x14ac:dyDescent="0.25">
      <c r="A15">
        <v>14</v>
      </c>
      <c r="B15">
        <v>7</v>
      </c>
      <c r="C15" t="s">
        <v>45</v>
      </c>
      <c r="D15" s="16" t="s">
        <v>299</v>
      </c>
      <c r="F15">
        <v>17.04</v>
      </c>
      <c r="G15" t="s">
        <v>44</v>
      </c>
      <c r="H15">
        <v>0</v>
      </c>
      <c r="I15">
        <v>18.600000000000001</v>
      </c>
      <c r="L15">
        <f>Constants!$B$2</f>
        <v>2.8</v>
      </c>
      <c r="M15" t="str">
        <f t="shared" si="0"/>
        <v>N/A</v>
      </c>
      <c r="N15">
        <f>P15*Constants!$E$2</f>
        <v>0</v>
      </c>
      <c r="P15">
        <f t="shared" si="1"/>
        <v>0</v>
      </c>
      <c r="Q15">
        <f>P15*Constants!$B$3</f>
        <v>0</v>
      </c>
      <c r="R15">
        <f t="shared" si="2"/>
        <v>0</v>
      </c>
      <c r="S15">
        <f t="shared" si="3"/>
        <v>18.600000000000001</v>
      </c>
      <c r="T15">
        <f>S15*Constants!$B$2</f>
        <v>52.08</v>
      </c>
      <c r="V15">
        <f t="shared" si="4"/>
        <v>0</v>
      </c>
      <c r="W15">
        <f t="shared" si="5"/>
        <v>0</v>
      </c>
      <c r="AA15" s="8"/>
      <c r="AJ15" s="4"/>
    </row>
    <row r="16" spans="1:40" x14ac:dyDescent="0.25">
      <c r="A16">
        <v>15</v>
      </c>
      <c r="B16">
        <v>7</v>
      </c>
      <c r="C16" t="s">
        <v>55</v>
      </c>
      <c r="D16" s="16" t="s">
        <v>313</v>
      </c>
      <c r="F16">
        <v>1.37</v>
      </c>
      <c r="G16" t="s">
        <v>44</v>
      </c>
      <c r="H16">
        <v>0</v>
      </c>
      <c r="I16">
        <v>4.8</v>
      </c>
      <c r="L16">
        <f>Constants!$B$2</f>
        <v>2.8</v>
      </c>
      <c r="M16" t="str">
        <f t="shared" ref="M16" si="6">IF(N16&gt;0,G16,"N/A")</f>
        <v>N/A</v>
      </c>
      <c r="N16">
        <f>P16*Constants!$E$2</f>
        <v>0</v>
      </c>
      <c r="P16">
        <f t="shared" ref="P16" si="7">H16</f>
        <v>0</v>
      </c>
      <c r="Q16">
        <f>P16*Constants!$B$3</f>
        <v>0</v>
      </c>
      <c r="R16">
        <f t="shared" ref="R16" si="8">IF(Q16-N16&lt;=0, 0, Q16-N16)</f>
        <v>0</v>
      </c>
      <c r="S16">
        <f t="shared" ref="S16" si="9">I16-P16</f>
        <v>4.8</v>
      </c>
      <c r="T16">
        <f>S16*Constants!$B$2</f>
        <v>13.44</v>
      </c>
      <c r="V16">
        <f t="shared" ref="V16" si="10">IF(B16="E",1,0)</f>
        <v>0</v>
      </c>
      <c r="W16">
        <f t="shared" ref="W16" si="11">IF(B16=10,1,0)</f>
        <v>0</v>
      </c>
      <c r="AA16" s="8"/>
      <c r="AJ16" s="4"/>
    </row>
    <row r="17" spans="4:4" x14ac:dyDescent="0.25">
      <c r="D17" s="15"/>
    </row>
    <row r="18" spans="4:4" x14ac:dyDescent="0.25">
      <c r="D18" s="15"/>
    </row>
    <row r="19" spans="4:4" x14ac:dyDescent="0.25">
      <c r="D19" s="15"/>
    </row>
    <row r="20" spans="4:4" x14ac:dyDescent="0.25">
      <c r="D20" s="15"/>
    </row>
    <row r="21" spans="4:4" x14ac:dyDescent="0.25">
      <c r="D21" s="15"/>
    </row>
    <row r="22" spans="4:4" x14ac:dyDescent="0.25">
      <c r="D22" s="15"/>
    </row>
    <row r="23" spans="4:4" x14ac:dyDescent="0.25">
      <c r="D23" s="15"/>
    </row>
    <row r="24" spans="4:4" x14ac:dyDescent="0.25">
      <c r="D24" s="15"/>
    </row>
    <row r="25" spans="4:4" x14ac:dyDescent="0.25">
      <c r="D25" s="15"/>
    </row>
    <row r="26" spans="4:4" x14ac:dyDescent="0.25">
      <c r="D26" s="15"/>
    </row>
    <row r="27" spans="4:4" x14ac:dyDescent="0.25">
      <c r="D27" s="15"/>
    </row>
    <row r="28" spans="4:4" x14ac:dyDescent="0.25">
      <c r="D28" s="15"/>
    </row>
    <row r="29" spans="4:4" x14ac:dyDescent="0.25">
      <c r="D29" s="15"/>
    </row>
    <row r="30" spans="4:4" x14ac:dyDescent="0.25">
      <c r="D30" s="15"/>
    </row>
    <row r="31" spans="4:4" x14ac:dyDescent="0.25">
      <c r="D31" s="15"/>
    </row>
    <row r="32" spans="4:4"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4"/>
    </row>
    <row r="415" spans="4:4" x14ac:dyDescent="0.25">
      <c r="D415" s="14"/>
    </row>
    <row r="416" spans="4:4" x14ac:dyDescent="0.25">
      <c r="D416" s="13"/>
    </row>
    <row r="417" spans="4:4" x14ac:dyDescent="0.25">
      <c r="D417" s="13"/>
    </row>
    <row r="418" spans="4:4" x14ac:dyDescent="0.25">
      <c r="D418" s="13"/>
    </row>
    <row r="419" spans="4:4" x14ac:dyDescent="0.25">
      <c r="D419" s="13"/>
    </row>
    <row r="420" spans="4:4" x14ac:dyDescent="0.25">
      <c r="D420" s="13"/>
    </row>
    <row r="421" spans="4:4" x14ac:dyDescent="0.25">
      <c r="D421" s="13"/>
    </row>
    <row r="422" spans="4:4" x14ac:dyDescent="0.25">
      <c r="D422" s="13"/>
    </row>
    <row r="423" spans="4:4" x14ac:dyDescent="0.25">
      <c r="D423" s="13"/>
    </row>
  </sheetData>
  <phoneticPr fontId="5" type="noConversion"/>
  <pageMargins left="0.7" right="0.7" top="0.78740157499999996" bottom="0.78740157499999996"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16"/>
  <sheetViews>
    <sheetView zoomScaleNormal="100" workbookViewId="0">
      <pane xSplit="4" ySplit="1" topLeftCell="H2" activePane="bottomRight" state="frozen"/>
      <selection pane="topRight" activeCell="F1" sqref="F1"/>
      <selection pane="bottomLeft" activeCell="A2" sqref="A2"/>
      <selection pane="bottomRight" activeCell="D12" sqref="D12"/>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s="17" t="s">
        <v>62</v>
      </c>
      <c r="D2" s="16" t="s">
        <v>300</v>
      </c>
      <c r="F2">
        <v>86.56</v>
      </c>
      <c r="G2" t="s">
        <v>44</v>
      </c>
      <c r="H2">
        <v>0</v>
      </c>
      <c r="I2">
        <v>69.34</v>
      </c>
      <c r="L2">
        <f>Constants!$B$2</f>
        <v>2.8</v>
      </c>
      <c r="M2" t="str">
        <f t="shared" ref="M2:M14" si="0">IF(N2&gt;0,G2,"N/A")</f>
        <v>N/A</v>
      </c>
      <c r="N2">
        <f>P2*Constants!$E$2</f>
        <v>0</v>
      </c>
      <c r="P2">
        <f>H2</f>
        <v>0</v>
      </c>
      <c r="Q2">
        <f>P2*Constants!$B$3</f>
        <v>0</v>
      </c>
      <c r="R2">
        <f>IF(Q2-N2&lt;=0, 0, Q2-N2)</f>
        <v>0</v>
      </c>
      <c r="S2">
        <f>I2-P2</f>
        <v>69.34</v>
      </c>
      <c r="T2">
        <f>S2*Constants!$B$2</f>
        <v>194.15199999999999</v>
      </c>
      <c r="V2">
        <f>IF(B2="E",1,0)</f>
        <v>0</v>
      </c>
      <c r="W2">
        <f>IF(B2=10,1,0)</f>
        <v>0</v>
      </c>
      <c r="AA2" s="8"/>
      <c r="AJ2" s="4"/>
    </row>
    <row r="3" spans="1:40" x14ac:dyDescent="0.25">
      <c r="A3">
        <v>2</v>
      </c>
      <c r="B3">
        <v>7</v>
      </c>
      <c r="C3" t="s">
        <v>55</v>
      </c>
      <c r="D3" s="16" t="s">
        <v>301</v>
      </c>
      <c r="F3">
        <v>13.33</v>
      </c>
      <c r="G3" t="s">
        <v>44</v>
      </c>
      <c r="H3">
        <v>0</v>
      </c>
      <c r="I3">
        <v>15</v>
      </c>
      <c r="L3">
        <f>Constants!$B$2</f>
        <v>2.8</v>
      </c>
      <c r="M3" t="str">
        <f t="shared" si="0"/>
        <v>N/A</v>
      </c>
      <c r="N3">
        <f>P3*Constants!$E$2</f>
        <v>0</v>
      </c>
      <c r="P3">
        <f t="shared" ref="P3:P14" si="1">H3</f>
        <v>0</v>
      </c>
      <c r="Q3">
        <f>P3*Constants!$B$3</f>
        <v>0</v>
      </c>
      <c r="R3">
        <f t="shared" ref="R3:R14" si="2">IF(Q3-N3&lt;=0, 0, Q3-N3)</f>
        <v>0</v>
      </c>
      <c r="S3">
        <f t="shared" ref="S3:S14" si="3">I3-P3</f>
        <v>15</v>
      </c>
      <c r="T3">
        <f>S3*Constants!$B$2</f>
        <v>42</v>
      </c>
      <c r="V3">
        <f t="shared" ref="V3:V14" si="4">IF(B3="E",1,0)</f>
        <v>0</v>
      </c>
      <c r="W3">
        <f t="shared" ref="W3:W14" si="5">IF(B3=10,1,0)</f>
        <v>0</v>
      </c>
      <c r="AA3" s="8"/>
      <c r="AJ3" s="4"/>
    </row>
    <row r="4" spans="1:40" x14ac:dyDescent="0.25">
      <c r="A4">
        <v>3</v>
      </c>
      <c r="B4">
        <v>7</v>
      </c>
      <c r="C4" t="s">
        <v>62</v>
      </c>
      <c r="D4" s="16" t="s">
        <v>302</v>
      </c>
      <c r="E4" s="16"/>
      <c r="F4">
        <v>1.6</v>
      </c>
      <c r="G4" t="s">
        <v>44</v>
      </c>
      <c r="H4">
        <v>0</v>
      </c>
      <c r="I4">
        <v>5.16</v>
      </c>
      <c r="L4">
        <f>Constants!$B$2</f>
        <v>2.8</v>
      </c>
      <c r="M4" t="str">
        <f t="shared" si="0"/>
        <v>N/A</v>
      </c>
      <c r="N4">
        <f>P4*Constants!$E$2</f>
        <v>0</v>
      </c>
      <c r="P4">
        <f t="shared" si="1"/>
        <v>0</v>
      </c>
      <c r="Q4">
        <f>P4*Constants!$B$3</f>
        <v>0</v>
      </c>
      <c r="R4">
        <f t="shared" si="2"/>
        <v>0</v>
      </c>
      <c r="S4">
        <f t="shared" si="3"/>
        <v>5.16</v>
      </c>
      <c r="T4">
        <f>S4*Constants!$B$2</f>
        <v>14.447999999999999</v>
      </c>
      <c r="V4">
        <f t="shared" si="4"/>
        <v>0</v>
      </c>
      <c r="W4">
        <f t="shared" si="5"/>
        <v>0</v>
      </c>
      <c r="AA4" s="8"/>
      <c r="AJ4" s="4"/>
    </row>
    <row r="5" spans="1:40" x14ac:dyDescent="0.25">
      <c r="A5">
        <v>4</v>
      </c>
      <c r="B5">
        <v>7</v>
      </c>
      <c r="C5" t="s">
        <v>64</v>
      </c>
      <c r="D5" s="16" t="s">
        <v>311</v>
      </c>
      <c r="E5" s="16" t="s">
        <v>302</v>
      </c>
      <c r="F5">
        <v>2.25</v>
      </c>
      <c r="G5" t="s">
        <v>44</v>
      </c>
      <c r="H5">
        <v>0</v>
      </c>
      <c r="I5">
        <v>6.23</v>
      </c>
      <c r="L5">
        <f>Constants!$B$2</f>
        <v>2.8</v>
      </c>
      <c r="M5" t="str">
        <f t="shared" si="0"/>
        <v>N/A</v>
      </c>
      <c r="N5">
        <f>P5*Constants!$E$2</f>
        <v>0</v>
      </c>
      <c r="P5">
        <f t="shared" si="1"/>
        <v>0</v>
      </c>
      <c r="Q5">
        <f>P5*Constants!$B$3</f>
        <v>0</v>
      </c>
      <c r="R5">
        <f t="shared" si="2"/>
        <v>0</v>
      </c>
      <c r="S5">
        <f t="shared" si="3"/>
        <v>6.23</v>
      </c>
      <c r="T5">
        <f>S5*Constants!$B$2</f>
        <v>17.443999999999999</v>
      </c>
      <c r="V5">
        <f t="shared" si="4"/>
        <v>0</v>
      </c>
      <c r="W5">
        <f t="shared" si="5"/>
        <v>0</v>
      </c>
      <c r="AA5" s="8"/>
      <c r="AJ5" s="4"/>
    </row>
    <row r="6" spans="1:40" x14ac:dyDescent="0.25">
      <c r="A6">
        <v>5</v>
      </c>
      <c r="B6">
        <v>7</v>
      </c>
      <c r="C6" t="s">
        <v>49</v>
      </c>
      <c r="D6" s="16" t="s">
        <v>303</v>
      </c>
      <c r="F6">
        <v>31.91</v>
      </c>
      <c r="G6">
        <v>90</v>
      </c>
      <c r="H6">
        <f>1.2*4</f>
        <v>4.8</v>
      </c>
      <c r="I6">
        <v>23.4</v>
      </c>
      <c r="L6">
        <f>Constants!$B$2</f>
        <v>2.8</v>
      </c>
      <c r="M6">
        <f t="shared" si="0"/>
        <v>90</v>
      </c>
      <c r="N6">
        <f>P6*Constants!$E$2</f>
        <v>8.16</v>
      </c>
      <c r="P6">
        <f t="shared" si="1"/>
        <v>4.8</v>
      </c>
      <c r="Q6">
        <f>P6*Constants!$B$3</f>
        <v>20.159999999999997</v>
      </c>
      <c r="R6">
        <f t="shared" si="2"/>
        <v>11.999999999999996</v>
      </c>
      <c r="S6">
        <f t="shared" si="3"/>
        <v>18.599999999999998</v>
      </c>
      <c r="T6">
        <f>S6*Constants!$B$2</f>
        <v>52.079999999999991</v>
      </c>
      <c r="V6">
        <f t="shared" si="4"/>
        <v>0</v>
      </c>
      <c r="W6">
        <f t="shared" si="5"/>
        <v>0</v>
      </c>
      <c r="AA6" s="8"/>
      <c r="AJ6" s="4"/>
    </row>
    <row r="7" spans="1:40" x14ac:dyDescent="0.25">
      <c r="A7">
        <v>6</v>
      </c>
      <c r="B7">
        <v>7</v>
      </c>
      <c r="C7" t="s">
        <v>49</v>
      </c>
      <c r="D7" s="16" t="s">
        <v>304</v>
      </c>
      <c r="F7">
        <v>31.98</v>
      </c>
      <c r="G7">
        <v>90</v>
      </c>
      <c r="H7">
        <f>1.2*4</f>
        <v>4.8</v>
      </c>
      <c r="I7">
        <v>23.25</v>
      </c>
      <c r="L7">
        <f>Constants!$B$2</f>
        <v>2.8</v>
      </c>
      <c r="M7">
        <f t="shared" si="0"/>
        <v>90</v>
      </c>
      <c r="N7">
        <f>P7*Constants!$E$2</f>
        <v>8.16</v>
      </c>
      <c r="P7">
        <f t="shared" si="1"/>
        <v>4.8</v>
      </c>
      <c r="Q7">
        <f>P7*Constants!$B$3</f>
        <v>20.159999999999997</v>
      </c>
      <c r="R7">
        <f t="shared" si="2"/>
        <v>11.999999999999996</v>
      </c>
      <c r="S7">
        <f t="shared" si="3"/>
        <v>18.45</v>
      </c>
      <c r="T7">
        <f>S7*Constants!$B$2</f>
        <v>51.66</v>
      </c>
      <c r="V7">
        <f t="shared" si="4"/>
        <v>0</v>
      </c>
      <c r="W7">
        <f t="shared" si="5"/>
        <v>0</v>
      </c>
      <c r="AA7" s="8"/>
      <c r="AJ7" s="4"/>
    </row>
    <row r="8" spans="1:40" x14ac:dyDescent="0.25">
      <c r="A8">
        <v>7</v>
      </c>
      <c r="B8">
        <v>7</v>
      </c>
      <c r="C8" t="s">
        <v>49</v>
      </c>
      <c r="D8" s="16" t="s">
        <v>305</v>
      </c>
      <c r="E8" s="16"/>
      <c r="F8">
        <v>31.83</v>
      </c>
      <c r="G8">
        <v>90</v>
      </c>
      <c r="H8">
        <v>4.8</v>
      </c>
      <c r="I8">
        <v>23.55</v>
      </c>
      <c r="L8">
        <f>Constants!$B$2</f>
        <v>2.8</v>
      </c>
      <c r="M8">
        <f t="shared" si="0"/>
        <v>90</v>
      </c>
      <c r="N8">
        <f>P8*Constants!$E$2</f>
        <v>8.16</v>
      </c>
      <c r="P8">
        <f t="shared" si="1"/>
        <v>4.8</v>
      </c>
      <c r="Q8">
        <f>P8*Constants!$B$3</f>
        <v>20.159999999999997</v>
      </c>
      <c r="R8">
        <f t="shared" si="2"/>
        <v>11.999999999999996</v>
      </c>
      <c r="S8">
        <f t="shared" si="3"/>
        <v>18.75</v>
      </c>
      <c r="T8">
        <f>S8*Constants!$B$2</f>
        <v>52.5</v>
      </c>
      <c r="V8">
        <f t="shared" si="4"/>
        <v>0</v>
      </c>
      <c r="W8">
        <f t="shared" si="5"/>
        <v>0</v>
      </c>
      <c r="AA8" s="8"/>
      <c r="AJ8" s="4"/>
    </row>
    <row r="9" spans="1:40" x14ac:dyDescent="0.25">
      <c r="A9">
        <v>8</v>
      </c>
      <c r="B9">
        <v>7</v>
      </c>
      <c r="C9" t="s">
        <v>55</v>
      </c>
      <c r="D9" s="16" t="s">
        <v>306</v>
      </c>
      <c r="E9" s="16"/>
      <c r="F9">
        <v>15.35</v>
      </c>
      <c r="G9">
        <v>90</v>
      </c>
      <c r="H9">
        <v>2.4</v>
      </c>
      <c r="I9">
        <v>18.75</v>
      </c>
      <c r="L9">
        <f>Constants!$B$2</f>
        <v>2.8</v>
      </c>
      <c r="M9">
        <f t="shared" si="0"/>
        <v>90</v>
      </c>
      <c r="N9">
        <f>P9*Constants!$E$2</f>
        <v>4.08</v>
      </c>
      <c r="P9">
        <f t="shared" si="1"/>
        <v>2.4</v>
      </c>
      <c r="Q9">
        <f>P9*Constants!$B$3</f>
        <v>10.079999999999998</v>
      </c>
      <c r="R9">
        <f t="shared" si="2"/>
        <v>5.9999999999999982</v>
      </c>
      <c r="S9">
        <f t="shared" si="3"/>
        <v>16.350000000000001</v>
      </c>
      <c r="T9">
        <f>S9*Constants!$B$2</f>
        <v>45.78</v>
      </c>
      <c r="V9">
        <f t="shared" si="4"/>
        <v>0</v>
      </c>
      <c r="W9">
        <f t="shared" si="5"/>
        <v>0</v>
      </c>
      <c r="AA9" s="8"/>
      <c r="AJ9" s="4"/>
    </row>
    <row r="10" spans="1:40" x14ac:dyDescent="0.25">
      <c r="A10">
        <v>9</v>
      </c>
      <c r="B10">
        <v>7</v>
      </c>
      <c r="C10" t="s">
        <v>55</v>
      </c>
      <c r="D10" s="16" t="s">
        <v>307</v>
      </c>
      <c r="E10" s="16"/>
      <c r="F10">
        <v>18.95</v>
      </c>
      <c r="G10">
        <v>90</v>
      </c>
      <c r="H10">
        <v>3.6</v>
      </c>
      <c r="I10">
        <v>21.16</v>
      </c>
      <c r="L10">
        <f>Constants!$B$2</f>
        <v>2.8</v>
      </c>
      <c r="M10">
        <f t="shared" si="0"/>
        <v>90</v>
      </c>
      <c r="N10">
        <f>P10*Constants!$E$2</f>
        <v>6.12</v>
      </c>
      <c r="P10">
        <f t="shared" si="1"/>
        <v>3.6</v>
      </c>
      <c r="Q10">
        <f>P10*Constants!$B$3</f>
        <v>15.119999999999997</v>
      </c>
      <c r="R10">
        <f t="shared" si="2"/>
        <v>8.9999999999999964</v>
      </c>
      <c r="S10">
        <f t="shared" si="3"/>
        <v>17.559999999999999</v>
      </c>
      <c r="T10">
        <f>S10*Constants!$B$2</f>
        <v>49.167999999999992</v>
      </c>
      <c r="V10">
        <f t="shared" si="4"/>
        <v>0</v>
      </c>
      <c r="W10">
        <f t="shared" si="5"/>
        <v>0</v>
      </c>
      <c r="AA10" s="8"/>
      <c r="AJ10" s="4"/>
    </row>
    <row r="11" spans="1:40" x14ac:dyDescent="0.25">
      <c r="A11">
        <v>10</v>
      </c>
      <c r="B11">
        <v>7</v>
      </c>
      <c r="C11" t="s">
        <v>57</v>
      </c>
      <c r="D11" s="16" t="s">
        <v>308</v>
      </c>
      <c r="E11" s="16"/>
      <c r="F11">
        <v>3.9</v>
      </c>
      <c r="G11" t="s">
        <v>44</v>
      </c>
      <c r="H11">
        <v>0</v>
      </c>
      <c r="I11">
        <v>8.0500000000000007</v>
      </c>
      <c r="L11">
        <f>Constants!$B$2</f>
        <v>2.8</v>
      </c>
      <c r="M11" t="str">
        <f t="shared" si="0"/>
        <v>N/A</v>
      </c>
      <c r="N11">
        <f>P11*Constants!$E$2</f>
        <v>0</v>
      </c>
      <c r="P11">
        <f t="shared" si="1"/>
        <v>0</v>
      </c>
      <c r="Q11">
        <f>P11*Constants!$B$3</f>
        <v>0</v>
      </c>
      <c r="R11">
        <f t="shared" si="2"/>
        <v>0</v>
      </c>
      <c r="S11">
        <f t="shared" si="3"/>
        <v>8.0500000000000007</v>
      </c>
      <c r="T11">
        <f>S11*Constants!$B$2</f>
        <v>22.54</v>
      </c>
      <c r="V11">
        <f t="shared" si="4"/>
        <v>0</v>
      </c>
      <c r="W11">
        <f t="shared" si="5"/>
        <v>0</v>
      </c>
      <c r="AA11" s="8"/>
      <c r="AJ11" s="4"/>
    </row>
    <row r="12" spans="1:40" x14ac:dyDescent="0.25">
      <c r="A12">
        <v>11</v>
      </c>
      <c r="B12">
        <v>7</v>
      </c>
      <c r="C12" t="s">
        <v>828</v>
      </c>
      <c r="D12" s="16" t="s">
        <v>309</v>
      </c>
      <c r="E12" s="16"/>
      <c r="F12">
        <v>55.89</v>
      </c>
      <c r="G12">
        <v>90</v>
      </c>
      <c r="H12">
        <f>1.2*7</f>
        <v>8.4</v>
      </c>
      <c r="I12">
        <v>30.38</v>
      </c>
      <c r="L12">
        <f>Constants!$B$2</f>
        <v>2.8</v>
      </c>
      <c r="M12">
        <f t="shared" si="0"/>
        <v>90</v>
      </c>
      <c r="N12">
        <f>P12*Constants!$E$2</f>
        <v>14.28</v>
      </c>
      <c r="P12">
        <f t="shared" si="1"/>
        <v>8.4</v>
      </c>
      <c r="Q12">
        <f>P12*Constants!$B$3</f>
        <v>35.279999999999994</v>
      </c>
      <c r="R12">
        <f t="shared" si="2"/>
        <v>20.999999999999993</v>
      </c>
      <c r="S12">
        <f t="shared" si="3"/>
        <v>21.979999999999997</v>
      </c>
      <c r="T12">
        <f>S12*Constants!$B$2</f>
        <v>61.54399999999999</v>
      </c>
      <c r="V12">
        <f t="shared" si="4"/>
        <v>0</v>
      </c>
      <c r="W12">
        <f t="shared" si="5"/>
        <v>0</v>
      </c>
      <c r="AA12" s="8"/>
      <c r="AJ12" s="4"/>
    </row>
    <row r="13" spans="1:40" x14ac:dyDescent="0.25">
      <c r="A13">
        <v>12</v>
      </c>
      <c r="B13">
        <v>7</v>
      </c>
      <c r="C13" t="s">
        <v>45</v>
      </c>
      <c r="D13" s="16" t="s">
        <v>310</v>
      </c>
      <c r="E13" s="16"/>
      <c r="F13">
        <v>17.04</v>
      </c>
      <c r="G13" t="s">
        <v>44</v>
      </c>
      <c r="H13">
        <v>0</v>
      </c>
      <c r="I13">
        <v>18.600000000000001</v>
      </c>
      <c r="L13">
        <f>Constants!$B$2</f>
        <v>2.8</v>
      </c>
      <c r="M13" t="str">
        <f t="shared" si="0"/>
        <v>N/A</v>
      </c>
      <c r="N13">
        <f>P13*Constants!$E$2</f>
        <v>0</v>
      </c>
      <c r="P13">
        <f t="shared" si="1"/>
        <v>0</v>
      </c>
      <c r="Q13">
        <f>P13*Constants!$B$3</f>
        <v>0</v>
      </c>
      <c r="R13">
        <f t="shared" si="2"/>
        <v>0</v>
      </c>
      <c r="S13">
        <f t="shared" si="3"/>
        <v>18.600000000000001</v>
      </c>
      <c r="T13">
        <f>S13*Constants!$B$2</f>
        <v>52.08</v>
      </c>
      <c r="V13">
        <f t="shared" si="4"/>
        <v>0</v>
      </c>
      <c r="W13">
        <f t="shared" si="5"/>
        <v>0</v>
      </c>
      <c r="AA13" s="8"/>
      <c r="AJ13" s="4"/>
    </row>
    <row r="14" spans="1:40" x14ac:dyDescent="0.25">
      <c r="A14">
        <v>13</v>
      </c>
      <c r="B14">
        <v>7</v>
      </c>
      <c r="C14" t="s">
        <v>62</v>
      </c>
      <c r="D14" s="16" t="s">
        <v>312</v>
      </c>
      <c r="E14" s="16"/>
      <c r="F14">
        <v>14.4</v>
      </c>
      <c r="G14" t="s">
        <v>44</v>
      </c>
      <c r="H14">
        <v>0</v>
      </c>
      <c r="I14">
        <v>16.8</v>
      </c>
      <c r="L14">
        <f>Constants!$B$2</f>
        <v>2.8</v>
      </c>
      <c r="M14" t="str">
        <f t="shared" si="0"/>
        <v>N/A</v>
      </c>
      <c r="N14">
        <f>P14*Constants!$E$2</f>
        <v>0</v>
      </c>
      <c r="P14">
        <f t="shared" si="1"/>
        <v>0</v>
      </c>
      <c r="Q14">
        <f>P14*Constants!$B$3</f>
        <v>0</v>
      </c>
      <c r="R14">
        <f t="shared" si="2"/>
        <v>0</v>
      </c>
      <c r="S14">
        <f t="shared" si="3"/>
        <v>16.8</v>
      </c>
      <c r="T14">
        <f>S14*Constants!$B$2</f>
        <v>47.04</v>
      </c>
      <c r="V14">
        <f t="shared" si="4"/>
        <v>0</v>
      </c>
      <c r="W14">
        <f t="shared" si="5"/>
        <v>0</v>
      </c>
      <c r="AA14" s="8"/>
      <c r="AJ14" s="4"/>
    </row>
    <row r="15" spans="1:40" x14ac:dyDescent="0.25">
      <c r="D15" s="15"/>
    </row>
    <row r="16" spans="1:40" x14ac:dyDescent="0.25">
      <c r="D16" s="15"/>
    </row>
    <row r="17" spans="4:4" x14ac:dyDescent="0.25">
      <c r="D17" s="15"/>
    </row>
    <row r="18" spans="4:4" x14ac:dyDescent="0.25">
      <c r="D18" s="15"/>
    </row>
    <row r="19" spans="4:4" x14ac:dyDescent="0.25">
      <c r="D19" s="15"/>
    </row>
    <row r="20" spans="4:4" x14ac:dyDescent="0.25">
      <c r="D20" s="15"/>
    </row>
    <row r="21" spans="4:4" x14ac:dyDescent="0.25">
      <c r="D21" s="15"/>
    </row>
    <row r="22" spans="4:4" x14ac:dyDescent="0.25">
      <c r="D22" s="15"/>
    </row>
    <row r="23" spans="4:4" x14ac:dyDescent="0.25">
      <c r="D23" s="15"/>
    </row>
    <row r="24" spans="4:4" x14ac:dyDescent="0.25">
      <c r="D24" s="15"/>
    </row>
    <row r="25" spans="4:4" x14ac:dyDescent="0.25">
      <c r="D25" s="15"/>
    </row>
    <row r="26" spans="4:4" x14ac:dyDescent="0.25">
      <c r="D26" s="15"/>
    </row>
    <row r="27" spans="4:4" x14ac:dyDescent="0.25">
      <c r="D27" s="15"/>
    </row>
    <row r="28" spans="4:4" x14ac:dyDescent="0.25">
      <c r="D28" s="15"/>
    </row>
    <row r="29" spans="4:4" x14ac:dyDescent="0.25">
      <c r="D29" s="15"/>
    </row>
    <row r="30" spans="4:4" x14ac:dyDescent="0.25">
      <c r="D30" s="15"/>
    </row>
    <row r="31" spans="4:4" x14ac:dyDescent="0.25">
      <c r="D31" s="15"/>
    </row>
    <row r="32" spans="4:4"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4"/>
    </row>
    <row r="408" spans="4:4" x14ac:dyDescent="0.25">
      <c r="D408" s="14"/>
    </row>
    <row r="409" spans="4:4" x14ac:dyDescent="0.25">
      <c r="D409" s="13"/>
    </row>
    <row r="410" spans="4:4" x14ac:dyDescent="0.25">
      <c r="D410" s="13"/>
    </row>
    <row r="411" spans="4:4" x14ac:dyDescent="0.25">
      <c r="D411" s="13"/>
    </row>
    <row r="412" spans="4:4" x14ac:dyDescent="0.25">
      <c r="D412" s="13"/>
    </row>
    <row r="413" spans="4:4" x14ac:dyDescent="0.25">
      <c r="D413" s="13"/>
    </row>
    <row r="414" spans="4:4" x14ac:dyDescent="0.25">
      <c r="D414" s="13"/>
    </row>
    <row r="415" spans="4:4" x14ac:dyDescent="0.25">
      <c r="D415" s="13"/>
    </row>
    <row r="416" spans="4:4" x14ac:dyDescent="0.25">
      <c r="D416" s="13"/>
    </row>
  </sheetData>
  <pageMargins left="0.7" right="0.7" top="0.78740157499999996" bottom="0.78740157499999996"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08"/>
  <sheetViews>
    <sheetView zoomScaleNormal="100" workbookViewId="0">
      <pane xSplit="4" ySplit="1" topLeftCell="E2" activePane="bottomRight" state="frozen"/>
      <selection pane="topRight" activeCell="F1" sqref="F1"/>
      <selection pane="bottomLeft" activeCell="A2" sqref="A2"/>
      <selection pane="bottomRight" activeCell="F10" sqref="F10"/>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s="17" t="s">
        <v>62</v>
      </c>
      <c r="D2" s="16" t="s">
        <v>314</v>
      </c>
      <c r="F2">
        <v>73.19</v>
      </c>
      <c r="G2" t="s">
        <v>44</v>
      </c>
      <c r="H2">
        <v>0</v>
      </c>
      <c r="I2">
        <f>2*1.2*(2.5+24)</f>
        <v>63.599999999999994</v>
      </c>
      <c r="L2">
        <f>Constants!$B$2</f>
        <v>2.8</v>
      </c>
      <c r="M2" t="str">
        <f t="shared" ref="M2:M17" si="0">IF(N2&gt;0,G2,"N/A")</f>
        <v>N/A</v>
      </c>
      <c r="N2">
        <f>P2*Constants!$E$2</f>
        <v>0</v>
      </c>
      <c r="P2">
        <f>H2</f>
        <v>0</v>
      </c>
      <c r="Q2">
        <f>P2*Constants!$B$3</f>
        <v>0</v>
      </c>
      <c r="R2">
        <f>IF(Q2-N2&lt;=0, 0, Q2-N2)</f>
        <v>0</v>
      </c>
      <c r="S2">
        <f>I2-P2</f>
        <v>63.599999999999994</v>
      </c>
      <c r="T2">
        <f>S2*Constants!$B$2</f>
        <v>178.07999999999998</v>
      </c>
      <c r="V2">
        <f>IF(B2="E",1,0)</f>
        <v>0</v>
      </c>
      <c r="W2">
        <f>IF(B2=10,1,0)</f>
        <v>0</v>
      </c>
      <c r="AA2" s="8"/>
      <c r="AJ2" s="4"/>
    </row>
    <row r="3" spans="1:40" x14ac:dyDescent="0.25">
      <c r="A3">
        <v>2</v>
      </c>
      <c r="B3">
        <v>7</v>
      </c>
      <c r="C3" t="s">
        <v>49</v>
      </c>
      <c r="D3" s="16" t="s">
        <v>315</v>
      </c>
      <c r="F3">
        <v>24.75</v>
      </c>
      <c r="G3">
        <v>270</v>
      </c>
      <c r="H3">
        <v>3.6</v>
      </c>
      <c r="I3">
        <f>2*1.2*(3+6.5)</f>
        <v>22.8</v>
      </c>
      <c r="L3">
        <f>Constants!$B$2</f>
        <v>2.8</v>
      </c>
      <c r="M3">
        <f t="shared" si="0"/>
        <v>270</v>
      </c>
      <c r="N3">
        <f>P3*Constants!$E$2</f>
        <v>6.12</v>
      </c>
      <c r="P3">
        <f t="shared" ref="P3:P17" si="1">H3</f>
        <v>3.6</v>
      </c>
      <c r="Q3">
        <f>P3*Constants!$B$3</f>
        <v>15.119999999999997</v>
      </c>
      <c r="R3">
        <f t="shared" ref="R3:R17" si="2">IF(Q3-N3&lt;=0, 0, Q3-N3)</f>
        <v>8.9999999999999964</v>
      </c>
      <c r="S3">
        <f t="shared" ref="S3:S17" si="3">I3-P3</f>
        <v>19.2</v>
      </c>
      <c r="T3">
        <f>S3*Constants!$B$2</f>
        <v>53.76</v>
      </c>
      <c r="V3">
        <f t="shared" ref="V3:V17" si="4">IF(B3="E",1,0)</f>
        <v>0</v>
      </c>
      <c r="W3">
        <f t="shared" ref="W3:W17" si="5">IF(B3=10,1,0)</f>
        <v>0</v>
      </c>
      <c r="AA3" s="8"/>
      <c r="AJ3" s="4"/>
    </row>
    <row r="4" spans="1:40" x14ac:dyDescent="0.25">
      <c r="A4">
        <v>3</v>
      </c>
      <c r="B4">
        <v>7</v>
      </c>
      <c r="C4" t="s">
        <v>64</v>
      </c>
      <c r="D4" s="16" t="s">
        <v>316</v>
      </c>
      <c r="E4" s="16" t="s">
        <v>315</v>
      </c>
      <c r="F4">
        <f>2.7*1.2</f>
        <v>3.24</v>
      </c>
      <c r="G4" t="s">
        <v>44</v>
      </c>
      <c r="H4">
        <v>0</v>
      </c>
      <c r="I4">
        <f>2*(1.2+2.7)</f>
        <v>7.8000000000000007</v>
      </c>
      <c r="L4">
        <f>Constants!$B$2</f>
        <v>2.8</v>
      </c>
      <c r="M4" t="str">
        <f t="shared" si="0"/>
        <v>N/A</v>
      </c>
      <c r="N4">
        <f>P4*Constants!$E$2</f>
        <v>0</v>
      </c>
      <c r="P4">
        <f t="shared" si="1"/>
        <v>0</v>
      </c>
      <c r="Q4">
        <f>P4*Constants!$B$3</f>
        <v>0</v>
      </c>
      <c r="R4">
        <f t="shared" si="2"/>
        <v>0</v>
      </c>
      <c r="S4">
        <f t="shared" si="3"/>
        <v>7.8000000000000007</v>
      </c>
      <c r="T4">
        <f>S4*Constants!$B$2</f>
        <v>21.84</v>
      </c>
      <c r="V4">
        <f t="shared" si="4"/>
        <v>0</v>
      </c>
      <c r="W4">
        <f t="shared" si="5"/>
        <v>0</v>
      </c>
      <c r="AA4" s="8"/>
      <c r="AJ4" s="4"/>
    </row>
    <row r="5" spans="1:40" x14ac:dyDescent="0.25">
      <c r="A5">
        <v>4</v>
      </c>
      <c r="B5">
        <v>7</v>
      </c>
      <c r="C5" t="s">
        <v>49</v>
      </c>
      <c r="D5" s="16" t="s">
        <v>317</v>
      </c>
      <c r="F5">
        <v>24.75</v>
      </c>
      <c r="G5">
        <v>270</v>
      </c>
      <c r="H5">
        <v>3.6</v>
      </c>
      <c r="I5">
        <f>2*(8+3.6)</f>
        <v>23.2</v>
      </c>
      <c r="L5">
        <f>Constants!$B$2</f>
        <v>2.8</v>
      </c>
      <c r="M5">
        <f t="shared" si="0"/>
        <v>270</v>
      </c>
      <c r="N5">
        <f>P5*Constants!$E$2</f>
        <v>6.12</v>
      </c>
      <c r="P5">
        <f t="shared" si="1"/>
        <v>3.6</v>
      </c>
      <c r="Q5">
        <f>P5*Constants!$B$3</f>
        <v>15.119999999999997</v>
      </c>
      <c r="R5">
        <f t="shared" si="2"/>
        <v>8.9999999999999964</v>
      </c>
      <c r="S5">
        <f t="shared" si="3"/>
        <v>19.599999999999998</v>
      </c>
      <c r="T5">
        <f>S5*Constants!$B$2</f>
        <v>54.879999999999988</v>
      </c>
      <c r="V5">
        <f t="shared" si="4"/>
        <v>0</v>
      </c>
      <c r="W5">
        <f t="shared" si="5"/>
        <v>0</v>
      </c>
      <c r="AA5" s="8"/>
      <c r="AJ5" s="4"/>
    </row>
    <row r="6" spans="1:40" x14ac:dyDescent="0.25">
      <c r="A6">
        <v>5</v>
      </c>
      <c r="B6">
        <v>7</v>
      </c>
      <c r="C6" t="s">
        <v>64</v>
      </c>
      <c r="D6" s="16" t="s">
        <v>318</v>
      </c>
      <c r="E6" s="16" t="s">
        <v>317</v>
      </c>
      <c r="F6">
        <f>2.7*1.2</f>
        <v>3.24</v>
      </c>
      <c r="G6" t="s">
        <v>44</v>
      </c>
      <c r="H6">
        <v>0</v>
      </c>
      <c r="I6">
        <f>2*(1.2+2.7)</f>
        <v>7.8000000000000007</v>
      </c>
      <c r="L6">
        <f>Constants!$B$2</f>
        <v>2.8</v>
      </c>
      <c r="M6" t="str">
        <f t="shared" si="0"/>
        <v>N/A</v>
      </c>
      <c r="N6">
        <f>P6*Constants!$E$2</f>
        <v>0</v>
      </c>
      <c r="P6">
        <f t="shared" si="1"/>
        <v>0</v>
      </c>
      <c r="Q6">
        <f>P6*Constants!$B$3</f>
        <v>0</v>
      </c>
      <c r="R6">
        <f t="shared" si="2"/>
        <v>0</v>
      </c>
      <c r="S6">
        <f t="shared" si="3"/>
        <v>7.8000000000000007</v>
      </c>
      <c r="T6">
        <f>S6*Constants!$B$2</f>
        <v>21.84</v>
      </c>
      <c r="V6">
        <f t="shared" si="4"/>
        <v>0</v>
      </c>
      <c r="W6">
        <f t="shared" si="5"/>
        <v>0</v>
      </c>
      <c r="AA6" s="8"/>
      <c r="AJ6" s="4"/>
    </row>
    <row r="7" spans="1:40" x14ac:dyDescent="0.25">
      <c r="A7">
        <v>6</v>
      </c>
      <c r="B7">
        <v>7</v>
      </c>
      <c r="C7" t="s">
        <v>49</v>
      </c>
      <c r="D7" s="16" t="s">
        <v>319</v>
      </c>
      <c r="F7">
        <v>24.75</v>
      </c>
      <c r="G7">
        <v>270</v>
      </c>
      <c r="H7">
        <v>3.6</v>
      </c>
      <c r="I7">
        <f>2*(8+3.6)</f>
        <v>23.2</v>
      </c>
      <c r="L7">
        <f>Constants!$B$2</f>
        <v>2.8</v>
      </c>
      <c r="M7">
        <f t="shared" si="0"/>
        <v>270</v>
      </c>
      <c r="N7">
        <f>P7*Constants!$E$2</f>
        <v>6.12</v>
      </c>
      <c r="P7">
        <f t="shared" si="1"/>
        <v>3.6</v>
      </c>
      <c r="Q7">
        <f>P7*Constants!$B$3</f>
        <v>15.119999999999997</v>
      </c>
      <c r="R7">
        <f t="shared" si="2"/>
        <v>8.9999999999999964</v>
      </c>
      <c r="S7">
        <f t="shared" si="3"/>
        <v>19.599999999999998</v>
      </c>
      <c r="T7">
        <f>S7*Constants!$B$2</f>
        <v>54.879999999999988</v>
      </c>
      <c r="V7">
        <f t="shared" si="4"/>
        <v>0</v>
      </c>
      <c r="W7">
        <f t="shared" si="5"/>
        <v>0</v>
      </c>
      <c r="AA7" s="8"/>
      <c r="AJ7" s="4"/>
    </row>
    <row r="8" spans="1:40" x14ac:dyDescent="0.25">
      <c r="A8">
        <v>7</v>
      </c>
      <c r="B8">
        <v>7</v>
      </c>
      <c r="C8" t="s">
        <v>64</v>
      </c>
      <c r="D8" s="16" t="s">
        <v>320</v>
      </c>
      <c r="E8" s="16" t="s">
        <v>319</v>
      </c>
      <c r="F8">
        <f>2.7*1.2</f>
        <v>3.24</v>
      </c>
      <c r="G8" t="s">
        <v>44</v>
      </c>
      <c r="H8">
        <v>0</v>
      </c>
      <c r="I8">
        <f>2*(1.2+2.7)</f>
        <v>7.8000000000000007</v>
      </c>
      <c r="L8">
        <f>Constants!$B$2</f>
        <v>2.8</v>
      </c>
      <c r="M8" t="str">
        <f t="shared" si="0"/>
        <v>N/A</v>
      </c>
      <c r="N8">
        <f>P8*Constants!$E$2</f>
        <v>0</v>
      </c>
      <c r="P8">
        <f t="shared" si="1"/>
        <v>0</v>
      </c>
      <c r="Q8">
        <f>P8*Constants!$B$3</f>
        <v>0</v>
      </c>
      <c r="R8">
        <f t="shared" si="2"/>
        <v>0</v>
      </c>
      <c r="S8">
        <f t="shared" si="3"/>
        <v>7.8000000000000007</v>
      </c>
      <c r="T8">
        <f>S8*Constants!$B$2</f>
        <v>21.84</v>
      </c>
      <c r="V8">
        <f t="shared" si="4"/>
        <v>0</v>
      </c>
      <c r="W8">
        <f t="shared" si="5"/>
        <v>0</v>
      </c>
      <c r="AA8" s="8"/>
      <c r="AJ8" s="4"/>
    </row>
    <row r="9" spans="1:40" x14ac:dyDescent="0.25">
      <c r="A9">
        <v>8</v>
      </c>
      <c r="B9">
        <v>7</v>
      </c>
      <c r="C9" t="s">
        <v>49</v>
      </c>
      <c r="D9" s="16" t="s">
        <v>321</v>
      </c>
      <c r="F9">
        <v>24.6</v>
      </c>
      <c r="G9">
        <v>270</v>
      </c>
      <c r="H9">
        <v>3.6</v>
      </c>
      <c r="I9">
        <f>2*(8+3.6)</f>
        <v>23.2</v>
      </c>
      <c r="L9">
        <f>Constants!$B$2</f>
        <v>2.8</v>
      </c>
      <c r="M9">
        <f t="shared" si="0"/>
        <v>270</v>
      </c>
      <c r="N9">
        <f>P9*Constants!$E$2</f>
        <v>6.12</v>
      </c>
      <c r="P9">
        <f t="shared" si="1"/>
        <v>3.6</v>
      </c>
      <c r="Q9">
        <f>P9*Constants!$B$3</f>
        <v>15.119999999999997</v>
      </c>
      <c r="R9">
        <f t="shared" si="2"/>
        <v>8.9999999999999964</v>
      </c>
      <c r="S9">
        <f t="shared" si="3"/>
        <v>19.599999999999998</v>
      </c>
      <c r="T9">
        <f>S9*Constants!$B$2</f>
        <v>54.879999999999988</v>
      </c>
      <c r="V9">
        <f t="shared" si="4"/>
        <v>0</v>
      </c>
      <c r="W9">
        <f t="shared" si="5"/>
        <v>0</v>
      </c>
      <c r="AA9" s="8"/>
      <c r="AJ9" s="4"/>
    </row>
    <row r="10" spans="1:40" x14ac:dyDescent="0.25">
      <c r="A10">
        <v>9</v>
      </c>
      <c r="B10">
        <v>7</v>
      </c>
      <c r="C10" t="s">
        <v>64</v>
      </c>
      <c r="D10" s="16" t="s">
        <v>322</v>
      </c>
      <c r="E10" s="16" t="s">
        <v>321</v>
      </c>
      <c r="F10">
        <f>2.7*1.2</f>
        <v>3.24</v>
      </c>
      <c r="G10" t="s">
        <v>44</v>
      </c>
      <c r="H10">
        <v>0</v>
      </c>
      <c r="I10">
        <f>2*(1.2+2.7)</f>
        <v>7.8000000000000007</v>
      </c>
      <c r="L10">
        <f>Constants!$B$2</f>
        <v>2.8</v>
      </c>
      <c r="M10" t="str">
        <f t="shared" si="0"/>
        <v>N/A</v>
      </c>
      <c r="N10">
        <f>P10*Constants!$E$2</f>
        <v>0</v>
      </c>
      <c r="P10">
        <f t="shared" si="1"/>
        <v>0</v>
      </c>
      <c r="Q10">
        <f>P10*Constants!$B$3</f>
        <v>0</v>
      </c>
      <c r="R10">
        <f t="shared" si="2"/>
        <v>0</v>
      </c>
      <c r="S10">
        <f t="shared" si="3"/>
        <v>7.8000000000000007</v>
      </c>
      <c r="T10">
        <f>S10*Constants!$B$2</f>
        <v>21.84</v>
      </c>
      <c r="V10">
        <f t="shared" si="4"/>
        <v>0</v>
      </c>
      <c r="W10">
        <f t="shared" si="5"/>
        <v>0</v>
      </c>
      <c r="AA10" s="8"/>
      <c r="AJ10" s="4"/>
    </row>
    <row r="11" spans="1:40" x14ac:dyDescent="0.25">
      <c r="A11">
        <v>10</v>
      </c>
      <c r="B11">
        <v>7</v>
      </c>
      <c r="C11" t="s">
        <v>49</v>
      </c>
      <c r="D11" s="16" t="s">
        <v>323</v>
      </c>
      <c r="F11">
        <v>24.6</v>
      </c>
      <c r="G11">
        <v>270</v>
      </c>
      <c r="H11">
        <v>3.6</v>
      </c>
      <c r="I11">
        <f>2*(8+3.6)</f>
        <v>23.2</v>
      </c>
      <c r="L11">
        <f>Constants!$B$2</f>
        <v>2.8</v>
      </c>
      <c r="M11">
        <f t="shared" si="0"/>
        <v>270</v>
      </c>
      <c r="N11">
        <f>P11*Constants!$E$2</f>
        <v>6.12</v>
      </c>
      <c r="P11">
        <f t="shared" si="1"/>
        <v>3.6</v>
      </c>
      <c r="Q11">
        <f>P11*Constants!$B$3</f>
        <v>15.119999999999997</v>
      </c>
      <c r="R11">
        <f t="shared" si="2"/>
        <v>8.9999999999999964</v>
      </c>
      <c r="S11">
        <f t="shared" si="3"/>
        <v>19.599999999999998</v>
      </c>
      <c r="T11">
        <f>S11*Constants!$B$2</f>
        <v>54.879999999999988</v>
      </c>
      <c r="V11">
        <f t="shared" si="4"/>
        <v>0</v>
      </c>
      <c r="W11">
        <f t="shared" si="5"/>
        <v>0</v>
      </c>
      <c r="AA11" s="8"/>
      <c r="AJ11" s="4"/>
    </row>
    <row r="12" spans="1:40" x14ac:dyDescent="0.25">
      <c r="A12">
        <v>11</v>
      </c>
      <c r="B12">
        <v>7</v>
      </c>
      <c r="C12" t="s">
        <v>64</v>
      </c>
      <c r="D12" s="16" t="s">
        <v>324</v>
      </c>
      <c r="E12" s="16" t="s">
        <v>323</v>
      </c>
      <c r="F12">
        <f>2.7*1.2</f>
        <v>3.24</v>
      </c>
      <c r="G12" t="s">
        <v>44</v>
      </c>
      <c r="H12">
        <v>0</v>
      </c>
      <c r="I12">
        <f>2*(1.2+2.7)</f>
        <v>7.8000000000000007</v>
      </c>
      <c r="L12">
        <f>Constants!$B$2</f>
        <v>2.8</v>
      </c>
      <c r="M12" t="str">
        <f t="shared" si="0"/>
        <v>N/A</v>
      </c>
      <c r="N12">
        <f>P12*Constants!$E$2</f>
        <v>0</v>
      </c>
      <c r="P12">
        <f t="shared" si="1"/>
        <v>0</v>
      </c>
      <c r="Q12">
        <f>P12*Constants!$B$3</f>
        <v>0</v>
      </c>
      <c r="R12">
        <f t="shared" si="2"/>
        <v>0</v>
      </c>
      <c r="S12">
        <f t="shared" si="3"/>
        <v>7.8000000000000007</v>
      </c>
      <c r="T12">
        <f>S12*Constants!$B$2</f>
        <v>21.84</v>
      </c>
      <c r="V12">
        <f t="shared" si="4"/>
        <v>0</v>
      </c>
      <c r="W12">
        <f t="shared" si="5"/>
        <v>0</v>
      </c>
      <c r="AA12" s="8"/>
      <c r="AJ12" s="4"/>
    </row>
    <row r="13" spans="1:40" x14ac:dyDescent="0.25">
      <c r="A13">
        <v>12</v>
      </c>
      <c r="B13">
        <v>7</v>
      </c>
      <c r="C13" t="s">
        <v>49</v>
      </c>
      <c r="D13" s="16" t="s">
        <v>325</v>
      </c>
      <c r="F13">
        <v>24.75</v>
      </c>
      <c r="G13">
        <v>270</v>
      </c>
      <c r="H13">
        <v>3.6</v>
      </c>
      <c r="I13">
        <f>2*(8+3.6)</f>
        <v>23.2</v>
      </c>
      <c r="L13">
        <f>Constants!$B$2</f>
        <v>2.8</v>
      </c>
      <c r="M13">
        <f t="shared" si="0"/>
        <v>270</v>
      </c>
      <c r="N13">
        <f>P13*Constants!$E$2</f>
        <v>6.12</v>
      </c>
      <c r="P13">
        <f t="shared" si="1"/>
        <v>3.6</v>
      </c>
      <c r="Q13">
        <f>P13*Constants!$B$3</f>
        <v>15.119999999999997</v>
      </c>
      <c r="R13">
        <f t="shared" si="2"/>
        <v>8.9999999999999964</v>
      </c>
      <c r="S13">
        <f t="shared" si="3"/>
        <v>19.599999999999998</v>
      </c>
      <c r="T13">
        <f>S13*Constants!$B$2</f>
        <v>54.879999999999988</v>
      </c>
      <c r="V13">
        <f t="shared" si="4"/>
        <v>0</v>
      </c>
      <c r="W13">
        <f t="shared" si="5"/>
        <v>0</v>
      </c>
      <c r="AA13" s="8"/>
      <c r="AJ13" s="4"/>
    </row>
    <row r="14" spans="1:40" x14ac:dyDescent="0.25">
      <c r="A14">
        <v>13</v>
      </c>
      <c r="B14">
        <v>7</v>
      </c>
      <c r="C14" t="s">
        <v>64</v>
      </c>
      <c r="D14" s="16" t="s">
        <v>326</v>
      </c>
      <c r="E14" s="16" t="s">
        <v>325</v>
      </c>
      <c r="F14">
        <f>2.7*1.2</f>
        <v>3.24</v>
      </c>
      <c r="G14" t="s">
        <v>44</v>
      </c>
      <c r="H14">
        <v>0</v>
      </c>
      <c r="I14">
        <f>2*(1.2+2.7)</f>
        <v>7.8000000000000007</v>
      </c>
      <c r="L14">
        <f>Constants!$B$2</f>
        <v>2.8</v>
      </c>
      <c r="M14" t="str">
        <f t="shared" si="0"/>
        <v>N/A</v>
      </c>
      <c r="N14">
        <f>P14*Constants!$E$2</f>
        <v>0</v>
      </c>
      <c r="P14">
        <f t="shared" si="1"/>
        <v>0</v>
      </c>
      <c r="Q14">
        <f>P14*Constants!$B$3</f>
        <v>0</v>
      </c>
      <c r="R14">
        <f t="shared" si="2"/>
        <v>0</v>
      </c>
      <c r="S14">
        <f t="shared" si="3"/>
        <v>7.8000000000000007</v>
      </c>
      <c r="T14">
        <f>S14*Constants!$B$2</f>
        <v>21.84</v>
      </c>
      <c r="V14">
        <f t="shared" si="4"/>
        <v>0</v>
      </c>
      <c r="W14">
        <f t="shared" si="5"/>
        <v>0</v>
      </c>
      <c r="AA14" s="8"/>
      <c r="AJ14" s="4"/>
    </row>
    <row r="15" spans="1:40" x14ac:dyDescent="0.25">
      <c r="A15">
        <v>14</v>
      </c>
      <c r="B15">
        <v>7</v>
      </c>
      <c r="C15" t="s">
        <v>49</v>
      </c>
      <c r="D15" s="16" t="s">
        <v>327</v>
      </c>
      <c r="F15">
        <v>24.75</v>
      </c>
      <c r="G15">
        <v>270</v>
      </c>
      <c r="H15">
        <v>3.6</v>
      </c>
      <c r="I15">
        <f>2*(8+3.6)</f>
        <v>23.2</v>
      </c>
      <c r="L15">
        <f>Constants!$B$2</f>
        <v>2.8</v>
      </c>
      <c r="M15">
        <f t="shared" si="0"/>
        <v>270</v>
      </c>
      <c r="N15">
        <f>P15*Constants!$E$2</f>
        <v>6.12</v>
      </c>
      <c r="P15">
        <f t="shared" si="1"/>
        <v>3.6</v>
      </c>
      <c r="Q15">
        <f>P15*Constants!$B$3</f>
        <v>15.119999999999997</v>
      </c>
      <c r="R15">
        <f t="shared" si="2"/>
        <v>8.9999999999999964</v>
      </c>
      <c r="S15">
        <f t="shared" si="3"/>
        <v>19.599999999999998</v>
      </c>
      <c r="T15">
        <f>S15*Constants!$B$2</f>
        <v>54.879999999999988</v>
      </c>
      <c r="V15">
        <f t="shared" si="4"/>
        <v>0</v>
      </c>
      <c r="W15">
        <f t="shared" si="5"/>
        <v>0</v>
      </c>
      <c r="AA15" s="8"/>
      <c r="AJ15" s="4"/>
    </row>
    <row r="16" spans="1:40" x14ac:dyDescent="0.25">
      <c r="A16">
        <v>15</v>
      </c>
      <c r="B16">
        <v>7</v>
      </c>
      <c r="C16" t="s">
        <v>64</v>
      </c>
      <c r="D16" s="16" t="s">
        <v>328</v>
      </c>
      <c r="E16" s="16" t="s">
        <v>327</v>
      </c>
      <c r="F16">
        <f>2.7*1.2</f>
        <v>3.24</v>
      </c>
      <c r="G16" t="s">
        <v>44</v>
      </c>
      <c r="H16">
        <v>0</v>
      </c>
      <c r="I16">
        <f>2*(1.2+2.7)</f>
        <v>7.8000000000000007</v>
      </c>
      <c r="L16">
        <f>Constants!$B$2</f>
        <v>2.8</v>
      </c>
      <c r="M16" t="str">
        <f t="shared" si="0"/>
        <v>N/A</v>
      </c>
      <c r="N16">
        <f>P16*Constants!$E$2</f>
        <v>0</v>
      </c>
      <c r="P16">
        <f t="shared" si="1"/>
        <v>0</v>
      </c>
      <c r="Q16">
        <f>P16*Constants!$B$3</f>
        <v>0</v>
      </c>
      <c r="R16">
        <f t="shared" si="2"/>
        <v>0</v>
      </c>
      <c r="S16">
        <f t="shared" si="3"/>
        <v>7.8000000000000007</v>
      </c>
      <c r="T16">
        <f>S16*Constants!$B$2</f>
        <v>21.84</v>
      </c>
      <c r="V16">
        <f t="shared" si="4"/>
        <v>0</v>
      </c>
      <c r="W16">
        <f t="shared" si="5"/>
        <v>0</v>
      </c>
      <c r="AA16" s="8"/>
      <c r="AJ16" s="4"/>
    </row>
    <row r="17" spans="1:36" x14ac:dyDescent="0.25">
      <c r="A17">
        <v>16</v>
      </c>
      <c r="B17">
        <v>7</v>
      </c>
      <c r="C17" t="s">
        <v>49</v>
      </c>
      <c r="D17" s="16" t="s">
        <v>329</v>
      </c>
      <c r="F17">
        <v>24.77</v>
      </c>
      <c r="G17">
        <v>270</v>
      </c>
      <c r="H17">
        <v>3.6</v>
      </c>
      <c r="I17">
        <f>2*(8+3.6)</f>
        <v>23.2</v>
      </c>
      <c r="L17">
        <f>Constants!$B$2</f>
        <v>2.8</v>
      </c>
      <c r="M17">
        <f t="shared" si="0"/>
        <v>270</v>
      </c>
      <c r="N17">
        <f>P17*Constants!$E$2</f>
        <v>6.12</v>
      </c>
      <c r="P17">
        <f t="shared" si="1"/>
        <v>3.6</v>
      </c>
      <c r="Q17">
        <f>P17*Constants!$B$3</f>
        <v>15.119999999999997</v>
      </c>
      <c r="R17">
        <f t="shared" si="2"/>
        <v>8.9999999999999964</v>
      </c>
      <c r="S17">
        <f t="shared" si="3"/>
        <v>19.599999999999998</v>
      </c>
      <c r="T17">
        <f>S17*Constants!$B$2</f>
        <v>54.879999999999988</v>
      </c>
      <c r="V17">
        <f t="shared" si="4"/>
        <v>0</v>
      </c>
      <c r="W17">
        <f t="shared" si="5"/>
        <v>0</v>
      </c>
      <c r="AA17" s="8"/>
      <c r="AJ17" s="4"/>
    </row>
    <row r="18" spans="1:36" x14ac:dyDescent="0.25">
      <c r="A18">
        <v>17</v>
      </c>
      <c r="B18">
        <v>7</v>
      </c>
      <c r="C18" t="s">
        <v>64</v>
      </c>
      <c r="D18" s="16" t="s">
        <v>332</v>
      </c>
      <c r="E18" s="16" t="s">
        <v>329</v>
      </c>
      <c r="F18">
        <f>2.7*1.2</f>
        <v>3.24</v>
      </c>
      <c r="G18" t="s">
        <v>44</v>
      </c>
      <c r="H18">
        <v>0</v>
      </c>
      <c r="I18">
        <f>2*(1.2+2.7)</f>
        <v>7.8000000000000007</v>
      </c>
      <c r="L18">
        <f>Constants!$B$2</f>
        <v>2.8</v>
      </c>
      <c r="M18" t="str">
        <f t="shared" ref="M18:M20" si="6">IF(N18&gt;0,G18,"N/A")</f>
        <v>N/A</v>
      </c>
      <c r="N18">
        <f>P18*Constants!$E$2</f>
        <v>0</v>
      </c>
      <c r="P18">
        <f t="shared" ref="P18:P20" si="7">H18</f>
        <v>0</v>
      </c>
      <c r="Q18">
        <f>P18*Constants!$B$3</f>
        <v>0</v>
      </c>
      <c r="R18">
        <f t="shared" ref="R18:R20" si="8">IF(Q18-N18&lt;=0, 0, Q18-N18)</f>
        <v>0</v>
      </c>
      <c r="S18">
        <f t="shared" ref="S18:S20" si="9">I18-P18</f>
        <v>7.8000000000000007</v>
      </c>
      <c r="T18">
        <f>S18*Constants!$B$2</f>
        <v>21.84</v>
      </c>
      <c r="V18">
        <f t="shared" ref="V18:V20" si="10">IF(B18="E",1,0)</f>
        <v>0</v>
      </c>
      <c r="W18">
        <f t="shared" ref="W18:W20" si="11">IF(B18=10,1,0)</f>
        <v>0</v>
      </c>
      <c r="AA18" s="8"/>
      <c r="AJ18" s="4"/>
    </row>
    <row r="19" spans="1:36" x14ac:dyDescent="0.25">
      <c r="A19">
        <v>18</v>
      </c>
      <c r="B19">
        <v>7</v>
      </c>
      <c r="C19" t="s">
        <v>54</v>
      </c>
      <c r="D19" s="16" t="s">
        <v>330</v>
      </c>
      <c r="F19">
        <v>20.18</v>
      </c>
      <c r="G19" t="s">
        <v>44</v>
      </c>
      <c r="H19">
        <v>0</v>
      </c>
      <c r="I19">
        <f>2*1.2*(5+3)</f>
        <v>19.2</v>
      </c>
      <c r="L19">
        <f>Constants!$B$2</f>
        <v>2.8</v>
      </c>
      <c r="M19" t="str">
        <f t="shared" si="6"/>
        <v>N/A</v>
      </c>
      <c r="N19">
        <f>P19*Constants!$E$2</f>
        <v>0</v>
      </c>
      <c r="P19">
        <f t="shared" si="7"/>
        <v>0</v>
      </c>
      <c r="Q19">
        <f>P19*Constants!$B$3</f>
        <v>0</v>
      </c>
      <c r="R19">
        <f t="shared" si="8"/>
        <v>0</v>
      </c>
      <c r="S19">
        <f t="shared" si="9"/>
        <v>19.2</v>
      </c>
      <c r="T19">
        <f>S19*Constants!$B$2</f>
        <v>53.76</v>
      </c>
      <c r="V19">
        <f t="shared" si="10"/>
        <v>0</v>
      </c>
      <c r="W19">
        <f t="shared" si="11"/>
        <v>0</v>
      </c>
      <c r="AA19" s="8"/>
      <c r="AJ19" s="4"/>
    </row>
    <row r="20" spans="1:36" x14ac:dyDescent="0.25">
      <c r="A20">
        <v>19</v>
      </c>
      <c r="B20">
        <v>7</v>
      </c>
      <c r="C20" t="s">
        <v>74</v>
      </c>
      <c r="D20" s="16" t="s">
        <v>331</v>
      </c>
      <c r="F20">
        <v>13.16</v>
      </c>
      <c r="G20" t="s">
        <v>44</v>
      </c>
      <c r="H20">
        <v>0</v>
      </c>
      <c r="I20">
        <f>2*1.2*(5+2)</f>
        <v>16.8</v>
      </c>
      <c r="L20">
        <f>Constants!$B$2</f>
        <v>2.8</v>
      </c>
      <c r="M20" t="str">
        <f t="shared" si="6"/>
        <v>N/A</v>
      </c>
      <c r="N20">
        <f>P20*Constants!$E$2</f>
        <v>0</v>
      </c>
      <c r="P20">
        <f t="shared" si="7"/>
        <v>0</v>
      </c>
      <c r="Q20">
        <f>P20*Constants!$B$3</f>
        <v>0</v>
      </c>
      <c r="R20">
        <f t="shared" si="8"/>
        <v>0</v>
      </c>
      <c r="S20">
        <f t="shared" si="9"/>
        <v>16.8</v>
      </c>
      <c r="T20">
        <f>S20*Constants!$B$2</f>
        <v>47.04</v>
      </c>
      <c r="V20">
        <f t="shared" si="10"/>
        <v>0</v>
      </c>
      <c r="W20">
        <f t="shared" si="11"/>
        <v>0</v>
      </c>
      <c r="AA20" s="8"/>
      <c r="AJ20" s="4"/>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4"/>
    </row>
    <row r="400" spans="4:4" x14ac:dyDescent="0.25">
      <c r="D400" s="14"/>
    </row>
    <row r="401" spans="4:4" x14ac:dyDescent="0.25">
      <c r="D401" s="13"/>
    </row>
    <row r="402" spans="4:4" x14ac:dyDescent="0.25">
      <c r="D402" s="13"/>
    </row>
    <row r="403" spans="4:4" x14ac:dyDescent="0.25">
      <c r="D403" s="13"/>
    </row>
    <row r="404" spans="4:4" x14ac:dyDescent="0.25">
      <c r="D404" s="13"/>
    </row>
    <row r="405" spans="4:4" x14ac:dyDescent="0.25">
      <c r="D405" s="13"/>
    </row>
    <row r="406" spans="4:4" x14ac:dyDescent="0.25">
      <c r="D406" s="13"/>
    </row>
    <row r="407" spans="4:4" x14ac:dyDescent="0.25">
      <c r="D407" s="13"/>
    </row>
    <row r="408" spans="4:4" x14ac:dyDescent="0.25">
      <c r="D408" s="13"/>
    </row>
  </sheetData>
  <pageMargins left="0.7" right="0.7" top="0.78740157499999996" bottom="0.78740157499999996"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98"/>
  <sheetViews>
    <sheetView zoomScaleNormal="100" workbookViewId="0">
      <pane xSplit="4" ySplit="1" topLeftCell="E2" activePane="bottomRight" state="frozen"/>
      <selection pane="topRight" activeCell="F1" sqref="F1"/>
      <selection pane="bottomLeft" activeCell="A2" sqref="A2"/>
      <selection pane="bottomRight" activeCell="C17" sqref="C17"/>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s="17" t="s">
        <v>62</v>
      </c>
      <c r="D2" s="16" t="s">
        <v>333</v>
      </c>
      <c r="F2">
        <v>105.92</v>
      </c>
      <c r="G2" t="s">
        <v>44</v>
      </c>
      <c r="H2">
        <v>0</v>
      </c>
      <c r="I2">
        <f>2*(28.8+2.3)</f>
        <v>62.2</v>
      </c>
      <c r="L2">
        <f>Constants!$B$2</f>
        <v>2.8</v>
      </c>
      <c r="M2" t="str">
        <f t="shared" ref="M2:M20" si="0">IF(N2&gt;0,G2,"N/A")</f>
        <v>N/A</v>
      </c>
      <c r="N2">
        <f>P2*Constants!$E$2</f>
        <v>0</v>
      </c>
      <c r="P2">
        <f>H2</f>
        <v>0</v>
      </c>
      <c r="Q2">
        <f>P2*Constants!$B$3</f>
        <v>0</v>
      </c>
      <c r="R2">
        <f>IF(Q2-N2&lt;=0, 0, Q2-N2)</f>
        <v>0</v>
      </c>
      <c r="S2">
        <f>I2-P2</f>
        <v>62.2</v>
      </c>
      <c r="T2">
        <f>S2*Constants!$B$2</f>
        <v>174.16</v>
      </c>
      <c r="V2">
        <f>IF(B2="E",1,0)</f>
        <v>0</v>
      </c>
      <c r="W2">
        <f>IF(B2=10,1,0)</f>
        <v>0</v>
      </c>
      <c r="AA2" s="8"/>
      <c r="AJ2" s="4"/>
    </row>
    <row r="3" spans="1:40" x14ac:dyDescent="0.25">
      <c r="A3">
        <v>2</v>
      </c>
      <c r="B3">
        <v>7</v>
      </c>
      <c r="C3" t="s">
        <v>67</v>
      </c>
      <c r="D3" s="16" t="s">
        <v>334</v>
      </c>
      <c r="F3">
        <v>23.69</v>
      </c>
      <c r="G3" t="s">
        <v>44</v>
      </c>
      <c r="H3">
        <v>0</v>
      </c>
      <c r="I3">
        <f>2*1.2*(3.5+5)</f>
        <v>20.399999999999999</v>
      </c>
      <c r="L3">
        <f>Constants!$B$2</f>
        <v>2.8</v>
      </c>
      <c r="M3" t="str">
        <f t="shared" si="0"/>
        <v>N/A</v>
      </c>
      <c r="N3">
        <f>P3*Constants!$E$2</f>
        <v>0</v>
      </c>
      <c r="P3">
        <f t="shared" ref="P3:P20" si="1">H3</f>
        <v>0</v>
      </c>
      <c r="Q3">
        <f>P3*Constants!$B$3</f>
        <v>0</v>
      </c>
      <c r="R3">
        <f t="shared" ref="R3:R20" si="2">IF(Q3-N3&lt;=0, 0, Q3-N3)</f>
        <v>0</v>
      </c>
      <c r="S3">
        <f t="shared" ref="S3:S20" si="3">I3-P3</f>
        <v>20.399999999999999</v>
      </c>
      <c r="T3">
        <f>S3*Constants!$B$2</f>
        <v>57.11999999999999</v>
      </c>
      <c r="V3">
        <f t="shared" ref="V3:V20" si="4">IF(B3="E",1,0)</f>
        <v>0</v>
      </c>
      <c r="W3">
        <f t="shared" ref="W3:W20" si="5">IF(B3=10,1,0)</f>
        <v>0</v>
      </c>
      <c r="AA3" s="8"/>
      <c r="AJ3" s="4"/>
    </row>
    <row r="4" spans="1:40" x14ac:dyDescent="0.25">
      <c r="A4">
        <v>3</v>
      </c>
      <c r="B4">
        <v>7</v>
      </c>
      <c r="C4" t="s">
        <v>67</v>
      </c>
      <c r="D4" s="16" t="s">
        <v>335</v>
      </c>
      <c r="E4" s="16"/>
      <c r="F4">
        <v>20.18</v>
      </c>
      <c r="G4" t="s">
        <v>44</v>
      </c>
      <c r="H4">
        <v>0</v>
      </c>
      <c r="I4">
        <f>2*1.2*(3+5)</f>
        <v>19.2</v>
      </c>
      <c r="L4">
        <f>Constants!$B$2</f>
        <v>2.8</v>
      </c>
      <c r="M4" t="str">
        <f t="shared" si="0"/>
        <v>N/A</v>
      </c>
      <c r="N4">
        <f>P4*Constants!$E$2</f>
        <v>0</v>
      </c>
      <c r="P4">
        <f t="shared" si="1"/>
        <v>0</v>
      </c>
      <c r="Q4">
        <f>P4*Constants!$B$3</f>
        <v>0</v>
      </c>
      <c r="R4">
        <f t="shared" si="2"/>
        <v>0</v>
      </c>
      <c r="S4">
        <f t="shared" si="3"/>
        <v>19.2</v>
      </c>
      <c r="T4">
        <f>S4*Constants!$B$2</f>
        <v>53.76</v>
      </c>
      <c r="V4">
        <f t="shared" si="4"/>
        <v>0</v>
      </c>
      <c r="W4">
        <f t="shared" si="5"/>
        <v>0</v>
      </c>
      <c r="AA4" s="8"/>
      <c r="AJ4" s="4"/>
    </row>
    <row r="5" spans="1:40" x14ac:dyDescent="0.25">
      <c r="A5">
        <v>4</v>
      </c>
      <c r="B5">
        <v>7</v>
      </c>
      <c r="C5" s="17" t="s">
        <v>54</v>
      </c>
      <c r="D5" s="16" t="s">
        <v>350</v>
      </c>
      <c r="F5">
        <v>20.3</v>
      </c>
      <c r="G5" t="s">
        <v>44</v>
      </c>
      <c r="H5">
        <v>0</v>
      </c>
      <c r="I5">
        <f>2*1.2*(3+5)</f>
        <v>19.2</v>
      </c>
      <c r="L5">
        <f>Constants!$B$2</f>
        <v>2.8</v>
      </c>
      <c r="M5" t="str">
        <f t="shared" ref="M5:M6" si="6">IF(N5&gt;0,G5,"N/A")</f>
        <v>N/A</v>
      </c>
      <c r="N5">
        <f>P5*Constants!$E$2</f>
        <v>0</v>
      </c>
      <c r="P5">
        <f>H5</f>
        <v>0</v>
      </c>
      <c r="Q5">
        <f>P5*Constants!$B$3</f>
        <v>0</v>
      </c>
      <c r="R5">
        <f>IF(Q5-N5&lt;=0, 0, Q5-N5)</f>
        <v>0</v>
      </c>
      <c r="S5">
        <f>I5-P5</f>
        <v>19.2</v>
      </c>
      <c r="T5">
        <f>S5*Constants!$B$2</f>
        <v>53.76</v>
      </c>
      <c r="V5">
        <f>IF(B5="E",1,0)</f>
        <v>0</v>
      </c>
      <c r="W5">
        <f>IF(B5=10,1,0)</f>
        <v>0</v>
      </c>
      <c r="AA5" s="8"/>
      <c r="AJ5" s="4"/>
    </row>
    <row r="6" spans="1:40" x14ac:dyDescent="0.25">
      <c r="A6">
        <v>5</v>
      </c>
      <c r="B6">
        <v>7</v>
      </c>
      <c r="C6" t="s">
        <v>45</v>
      </c>
      <c r="D6" s="16" t="s">
        <v>351</v>
      </c>
      <c r="F6">
        <v>48.11</v>
      </c>
      <c r="G6" t="s">
        <v>44</v>
      </c>
      <c r="H6">
        <v>0</v>
      </c>
      <c r="I6">
        <f>2*1.2*(5+7)</f>
        <v>28.799999999999997</v>
      </c>
      <c r="L6">
        <f>Constants!$B$2</f>
        <v>2.8</v>
      </c>
      <c r="M6" t="str">
        <f t="shared" si="6"/>
        <v>N/A</v>
      </c>
      <c r="N6">
        <f>P6*Constants!$E$2</f>
        <v>0</v>
      </c>
      <c r="P6">
        <f t="shared" ref="P6" si="7">H6</f>
        <v>0</v>
      </c>
      <c r="Q6">
        <f>P6*Constants!$B$3</f>
        <v>0</v>
      </c>
      <c r="R6">
        <f t="shared" ref="R6" si="8">IF(Q6-N6&lt;=0, 0, Q6-N6)</f>
        <v>0</v>
      </c>
      <c r="S6">
        <f t="shared" ref="S6" si="9">I6-P6</f>
        <v>28.799999999999997</v>
      </c>
      <c r="T6">
        <f>S6*Constants!$B$2</f>
        <v>80.639999999999986</v>
      </c>
      <c r="V6">
        <f t="shared" ref="V6" si="10">IF(B6="E",1,0)</f>
        <v>0</v>
      </c>
      <c r="W6">
        <f t="shared" ref="W6" si="11">IF(B6=10,1,0)</f>
        <v>0</v>
      </c>
      <c r="AA6" s="8"/>
      <c r="AJ6" s="4"/>
    </row>
    <row r="7" spans="1:40" x14ac:dyDescent="0.25">
      <c r="A7">
        <v>6</v>
      </c>
      <c r="B7">
        <v>7</v>
      </c>
      <c r="C7" t="s">
        <v>54</v>
      </c>
      <c r="D7" s="16" t="s">
        <v>336</v>
      </c>
      <c r="E7" s="16"/>
      <c r="F7">
        <v>18.11</v>
      </c>
      <c r="G7" t="s">
        <v>44</v>
      </c>
      <c r="H7">
        <v>0</v>
      </c>
      <c r="I7">
        <f>2*1.2*(3+4.5)</f>
        <v>18</v>
      </c>
      <c r="L7">
        <f>Constants!$B$2</f>
        <v>2.8</v>
      </c>
      <c r="M7" t="str">
        <f t="shared" si="0"/>
        <v>N/A</v>
      </c>
      <c r="N7">
        <f>P7*Constants!$E$2</f>
        <v>0</v>
      </c>
      <c r="P7">
        <f t="shared" si="1"/>
        <v>0</v>
      </c>
      <c r="Q7">
        <f>P7*Constants!$B$3</f>
        <v>0</v>
      </c>
      <c r="R7">
        <f t="shared" si="2"/>
        <v>0</v>
      </c>
      <c r="S7">
        <f t="shared" si="3"/>
        <v>18</v>
      </c>
      <c r="T7">
        <f>S7*Constants!$B$2</f>
        <v>50.4</v>
      </c>
      <c r="V7">
        <f t="shared" si="4"/>
        <v>0</v>
      </c>
      <c r="W7">
        <f t="shared" si="5"/>
        <v>0</v>
      </c>
      <c r="AA7" s="8"/>
      <c r="AJ7" s="4"/>
    </row>
    <row r="8" spans="1:40" x14ac:dyDescent="0.25">
      <c r="A8">
        <v>7</v>
      </c>
      <c r="B8">
        <v>7</v>
      </c>
      <c r="C8" t="s">
        <v>50</v>
      </c>
      <c r="D8" s="16" t="s">
        <v>337</v>
      </c>
      <c r="E8" s="16"/>
      <c r="F8">
        <v>9.83</v>
      </c>
      <c r="G8" t="s">
        <v>44</v>
      </c>
      <c r="H8">
        <v>0</v>
      </c>
      <c r="I8">
        <f>2*1.2*(2.5+3)</f>
        <v>13.2</v>
      </c>
      <c r="L8">
        <f>Constants!$B$2</f>
        <v>2.8</v>
      </c>
      <c r="M8" t="str">
        <f t="shared" si="0"/>
        <v>N/A</v>
      </c>
      <c r="N8">
        <f>P8*Constants!$E$2</f>
        <v>0</v>
      </c>
      <c r="P8">
        <f t="shared" si="1"/>
        <v>0</v>
      </c>
      <c r="Q8">
        <f>P8*Constants!$B$3</f>
        <v>0</v>
      </c>
      <c r="R8">
        <f t="shared" si="2"/>
        <v>0</v>
      </c>
      <c r="S8">
        <f t="shared" si="3"/>
        <v>13.2</v>
      </c>
      <c r="T8">
        <f>S8*Constants!$B$2</f>
        <v>36.959999999999994</v>
      </c>
      <c r="V8">
        <f t="shared" si="4"/>
        <v>0</v>
      </c>
      <c r="W8">
        <f t="shared" si="5"/>
        <v>0</v>
      </c>
      <c r="AA8" s="8"/>
      <c r="AJ8" s="4"/>
    </row>
    <row r="9" spans="1:40" x14ac:dyDescent="0.25">
      <c r="A9">
        <v>8</v>
      </c>
      <c r="B9">
        <v>7</v>
      </c>
      <c r="C9" t="s">
        <v>67</v>
      </c>
      <c r="D9" s="16" t="s">
        <v>338</v>
      </c>
      <c r="E9" s="16"/>
      <c r="F9">
        <v>26.51</v>
      </c>
      <c r="G9" t="s">
        <v>44</v>
      </c>
      <c r="H9">
        <v>0</v>
      </c>
      <c r="I9">
        <f>1.2*2*(6+3.5)</f>
        <v>22.8</v>
      </c>
      <c r="L9">
        <f>Constants!$B$2</f>
        <v>2.8</v>
      </c>
      <c r="M9" t="str">
        <f t="shared" si="0"/>
        <v>N/A</v>
      </c>
      <c r="N9">
        <f>P9*Constants!$E$2</f>
        <v>0</v>
      </c>
      <c r="P9">
        <f t="shared" si="1"/>
        <v>0</v>
      </c>
      <c r="Q9">
        <f>P9*Constants!$B$3</f>
        <v>0</v>
      </c>
      <c r="R9">
        <f t="shared" si="2"/>
        <v>0</v>
      </c>
      <c r="S9">
        <f t="shared" si="3"/>
        <v>22.8</v>
      </c>
      <c r="T9">
        <f>S9*Constants!$B$2</f>
        <v>63.839999999999996</v>
      </c>
      <c r="V9">
        <f t="shared" si="4"/>
        <v>0</v>
      </c>
      <c r="W9">
        <f t="shared" si="5"/>
        <v>0</v>
      </c>
      <c r="AA9" s="8"/>
      <c r="AJ9" s="4"/>
    </row>
    <row r="10" spans="1:40" x14ac:dyDescent="0.25">
      <c r="A10">
        <v>9</v>
      </c>
      <c r="B10">
        <v>7</v>
      </c>
      <c r="C10" t="s">
        <v>67</v>
      </c>
      <c r="D10" s="16" t="s">
        <v>339</v>
      </c>
      <c r="F10">
        <v>18.68</v>
      </c>
      <c r="G10" t="s">
        <v>44</v>
      </c>
      <c r="H10">
        <v>0</v>
      </c>
      <c r="I10">
        <f>2*1.2*(2.5+5.5)</f>
        <v>19.2</v>
      </c>
      <c r="L10">
        <f>Constants!$B$2</f>
        <v>2.8</v>
      </c>
      <c r="M10" t="str">
        <f t="shared" si="0"/>
        <v>N/A</v>
      </c>
      <c r="N10">
        <f>P10*Constants!$E$2</f>
        <v>0</v>
      </c>
      <c r="P10">
        <f t="shared" si="1"/>
        <v>0</v>
      </c>
      <c r="Q10">
        <f>P10*Constants!$B$3</f>
        <v>0</v>
      </c>
      <c r="R10">
        <f t="shared" si="2"/>
        <v>0</v>
      </c>
      <c r="S10">
        <f t="shared" si="3"/>
        <v>19.2</v>
      </c>
      <c r="T10">
        <f>S10*Constants!$B$2</f>
        <v>53.76</v>
      </c>
      <c r="V10">
        <f t="shared" si="4"/>
        <v>0</v>
      </c>
      <c r="W10">
        <f t="shared" si="5"/>
        <v>0</v>
      </c>
      <c r="AA10" s="8"/>
      <c r="AJ10" s="4"/>
    </row>
    <row r="11" spans="1:40" x14ac:dyDescent="0.25">
      <c r="A11">
        <v>10</v>
      </c>
      <c r="B11">
        <v>7</v>
      </c>
      <c r="C11" t="s">
        <v>67</v>
      </c>
      <c r="D11" s="16" t="s">
        <v>343</v>
      </c>
      <c r="E11" s="16"/>
      <c r="F11">
        <v>21.16</v>
      </c>
      <c r="G11" t="s">
        <v>44</v>
      </c>
      <c r="H11">
        <v>0</v>
      </c>
      <c r="I11">
        <f>2*1.2*(3+5.5)</f>
        <v>20.399999999999999</v>
      </c>
      <c r="L11">
        <f>Constants!$B$2</f>
        <v>2.8</v>
      </c>
      <c r="M11" t="str">
        <f t="shared" si="0"/>
        <v>N/A</v>
      </c>
      <c r="N11">
        <f>P11*Constants!$E$2</f>
        <v>0</v>
      </c>
      <c r="P11">
        <f t="shared" si="1"/>
        <v>0</v>
      </c>
      <c r="Q11">
        <f>P11*Constants!$B$3</f>
        <v>0</v>
      </c>
      <c r="R11">
        <f t="shared" si="2"/>
        <v>0</v>
      </c>
      <c r="S11">
        <f t="shared" si="3"/>
        <v>20.399999999999999</v>
      </c>
      <c r="T11">
        <f>S11*Constants!$B$2</f>
        <v>57.11999999999999</v>
      </c>
      <c r="V11">
        <f t="shared" si="4"/>
        <v>0</v>
      </c>
      <c r="W11">
        <f t="shared" si="5"/>
        <v>0</v>
      </c>
      <c r="AA11" s="8"/>
      <c r="AJ11" s="4"/>
    </row>
    <row r="12" spans="1:40" x14ac:dyDescent="0.25">
      <c r="A12">
        <v>11</v>
      </c>
      <c r="B12">
        <v>7</v>
      </c>
      <c r="C12" t="s">
        <v>54</v>
      </c>
      <c r="D12" s="16" t="s">
        <v>344</v>
      </c>
      <c r="E12" s="16"/>
      <c r="F12">
        <v>29.15</v>
      </c>
      <c r="G12" t="s">
        <v>44</v>
      </c>
      <c r="H12">
        <v>0</v>
      </c>
      <c r="I12">
        <f>2*1.2*(3.5+5.5)</f>
        <v>21.599999999999998</v>
      </c>
      <c r="L12">
        <f>Constants!$B$2</f>
        <v>2.8</v>
      </c>
      <c r="M12" t="str">
        <f t="shared" si="0"/>
        <v>N/A</v>
      </c>
      <c r="N12">
        <f>P12*Constants!$E$2</f>
        <v>0</v>
      </c>
      <c r="P12">
        <f t="shared" si="1"/>
        <v>0</v>
      </c>
      <c r="Q12">
        <f>P12*Constants!$B$3</f>
        <v>0</v>
      </c>
      <c r="R12">
        <f t="shared" si="2"/>
        <v>0</v>
      </c>
      <c r="S12">
        <f t="shared" si="3"/>
        <v>21.599999999999998</v>
      </c>
      <c r="T12">
        <f>S12*Constants!$B$2</f>
        <v>60.47999999999999</v>
      </c>
      <c r="V12">
        <f t="shared" si="4"/>
        <v>0</v>
      </c>
      <c r="W12">
        <f t="shared" si="5"/>
        <v>0</v>
      </c>
      <c r="AA12" s="8"/>
      <c r="AJ12" s="4"/>
    </row>
    <row r="13" spans="1:40" x14ac:dyDescent="0.25">
      <c r="A13">
        <v>15</v>
      </c>
      <c r="B13">
        <v>7</v>
      </c>
      <c r="C13" s="17" t="s">
        <v>49</v>
      </c>
      <c r="D13" s="16" t="s">
        <v>342</v>
      </c>
      <c r="F13">
        <v>24.41</v>
      </c>
      <c r="G13" t="s">
        <v>44</v>
      </c>
      <c r="H13">
        <v>0</v>
      </c>
      <c r="I13">
        <f>2*1.2*(4.5+4)</f>
        <v>20.399999999999999</v>
      </c>
      <c r="L13">
        <f>Constants!$B$2</f>
        <v>2.8</v>
      </c>
      <c r="M13" t="str">
        <f t="shared" si="0"/>
        <v>N/A</v>
      </c>
      <c r="N13">
        <f>P13*Constants!$E$2</f>
        <v>0</v>
      </c>
      <c r="P13">
        <f t="shared" si="1"/>
        <v>0</v>
      </c>
      <c r="Q13">
        <f>P13*Constants!$B$3</f>
        <v>0</v>
      </c>
      <c r="R13">
        <f t="shared" si="2"/>
        <v>0</v>
      </c>
      <c r="S13">
        <f t="shared" si="3"/>
        <v>20.399999999999999</v>
      </c>
      <c r="T13">
        <f>S13*Constants!$B$2</f>
        <v>57.11999999999999</v>
      </c>
      <c r="V13">
        <f t="shared" si="4"/>
        <v>0</v>
      </c>
      <c r="W13">
        <f t="shared" si="5"/>
        <v>0</v>
      </c>
      <c r="AA13" s="8"/>
      <c r="AJ13" s="4"/>
    </row>
    <row r="14" spans="1:40" x14ac:dyDescent="0.25">
      <c r="A14">
        <v>16</v>
      </c>
      <c r="B14">
        <v>7</v>
      </c>
      <c r="C14" t="s">
        <v>54</v>
      </c>
      <c r="D14" s="16" t="s">
        <v>340</v>
      </c>
      <c r="E14" s="16"/>
      <c r="F14">
        <v>13.6</v>
      </c>
      <c r="G14" t="s">
        <v>44</v>
      </c>
      <c r="H14">
        <v>0</v>
      </c>
      <c r="I14">
        <f>2*1.2*(2.5+4)</f>
        <v>15.6</v>
      </c>
      <c r="L14">
        <f>Constants!$B$2</f>
        <v>2.8</v>
      </c>
      <c r="M14" t="str">
        <f t="shared" si="0"/>
        <v>N/A</v>
      </c>
      <c r="N14">
        <f>P14*Constants!$E$2</f>
        <v>0</v>
      </c>
      <c r="P14">
        <f t="shared" si="1"/>
        <v>0</v>
      </c>
      <c r="Q14">
        <f>P14*Constants!$B$3</f>
        <v>0</v>
      </c>
      <c r="R14">
        <f t="shared" si="2"/>
        <v>0</v>
      </c>
      <c r="S14">
        <f t="shared" si="3"/>
        <v>15.6</v>
      </c>
      <c r="T14">
        <f>S14*Constants!$B$2</f>
        <v>43.68</v>
      </c>
      <c r="V14">
        <f t="shared" si="4"/>
        <v>0</v>
      </c>
      <c r="W14">
        <f t="shared" si="5"/>
        <v>0</v>
      </c>
      <c r="AA14" s="8"/>
      <c r="AJ14" s="4"/>
    </row>
    <row r="15" spans="1:40" x14ac:dyDescent="0.25">
      <c r="A15">
        <v>17</v>
      </c>
      <c r="B15">
        <v>7</v>
      </c>
      <c r="C15" t="s">
        <v>54</v>
      </c>
      <c r="D15" s="16" t="s">
        <v>341</v>
      </c>
      <c r="F15">
        <v>13.25</v>
      </c>
      <c r="G15" t="s">
        <v>44</v>
      </c>
      <c r="H15">
        <v>0</v>
      </c>
      <c r="I15">
        <f>2*1.2*(2.5+4)</f>
        <v>15.6</v>
      </c>
      <c r="L15">
        <f>Constants!$B$2</f>
        <v>2.8</v>
      </c>
      <c r="M15" t="str">
        <f t="shared" si="0"/>
        <v>N/A</v>
      </c>
      <c r="N15">
        <f>P15*Constants!$E$2</f>
        <v>0</v>
      </c>
      <c r="P15">
        <f t="shared" si="1"/>
        <v>0</v>
      </c>
      <c r="Q15">
        <f>P15*Constants!$B$3</f>
        <v>0</v>
      </c>
      <c r="R15">
        <f t="shared" si="2"/>
        <v>0</v>
      </c>
      <c r="S15">
        <f t="shared" si="3"/>
        <v>15.6</v>
      </c>
      <c r="T15">
        <f>S15*Constants!$B$2</f>
        <v>43.68</v>
      </c>
      <c r="V15">
        <f t="shared" si="4"/>
        <v>0</v>
      </c>
      <c r="W15">
        <f t="shared" si="5"/>
        <v>0</v>
      </c>
      <c r="AA15" s="8"/>
      <c r="AJ15" s="4"/>
    </row>
    <row r="16" spans="1:40" x14ac:dyDescent="0.25">
      <c r="A16">
        <v>18</v>
      </c>
      <c r="B16">
        <v>7</v>
      </c>
      <c r="C16" t="s">
        <v>54</v>
      </c>
      <c r="D16" s="16" t="s">
        <v>345</v>
      </c>
      <c r="E16" s="16"/>
      <c r="F16">
        <v>13.25</v>
      </c>
      <c r="G16" t="s">
        <v>44</v>
      </c>
      <c r="H16">
        <v>0</v>
      </c>
      <c r="I16">
        <f>2*1.2*(2.5+4)</f>
        <v>15.6</v>
      </c>
      <c r="L16">
        <f>Constants!$B$2</f>
        <v>2.8</v>
      </c>
      <c r="M16" t="str">
        <f t="shared" si="0"/>
        <v>N/A</v>
      </c>
      <c r="N16">
        <f>P16*Constants!$E$2</f>
        <v>0</v>
      </c>
      <c r="P16">
        <f t="shared" si="1"/>
        <v>0</v>
      </c>
      <c r="Q16">
        <f>P16*Constants!$B$3</f>
        <v>0</v>
      </c>
      <c r="R16">
        <f t="shared" si="2"/>
        <v>0</v>
      </c>
      <c r="S16">
        <f t="shared" si="3"/>
        <v>15.6</v>
      </c>
      <c r="T16">
        <f>S16*Constants!$B$2</f>
        <v>43.68</v>
      </c>
      <c r="V16">
        <f t="shared" si="4"/>
        <v>0</v>
      </c>
      <c r="W16">
        <f t="shared" si="5"/>
        <v>0</v>
      </c>
      <c r="AA16" s="8"/>
      <c r="AJ16" s="4"/>
    </row>
    <row r="17" spans="1:36" x14ac:dyDescent="0.25">
      <c r="A17">
        <v>19</v>
      </c>
      <c r="B17">
        <v>7</v>
      </c>
      <c r="C17" t="s">
        <v>54</v>
      </c>
      <c r="D17" s="16" t="s">
        <v>346</v>
      </c>
      <c r="E17" s="16"/>
      <c r="F17">
        <v>13.25</v>
      </c>
      <c r="G17" t="s">
        <v>44</v>
      </c>
      <c r="H17">
        <v>0</v>
      </c>
      <c r="I17">
        <f>2*1.2*(2.5+4)</f>
        <v>15.6</v>
      </c>
      <c r="L17">
        <f>Constants!$B$2</f>
        <v>2.8</v>
      </c>
      <c r="M17" t="str">
        <f t="shared" ref="M17:M18" si="12">IF(N17&gt;0,G17,"N/A")</f>
        <v>N/A</v>
      </c>
      <c r="N17">
        <f>P17*Constants!$E$2</f>
        <v>0</v>
      </c>
      <c r="P17">
        <f t="shared" ref="P17:P18" si="13">H17</f>
        <v>0</v>
      </c>
      <c r="Q17">
        <f>P17*Constants!$B$3</f>
        <v>0</v>
      </c>
      <c r="R17">
        <f t="shared" ref="R17:R18" si="14">IF(Q17-N17&lt;=0, 0, Q17-N17)</f>
        <v>0</v>
      </c>
      <c r="S17">
        <f t="shared" ref="S17:S18" si="15">I17-P17</f>
        <v>15.6</v>
      </c>
      <c r="T17">
        <f>S17*Constants!$B$2</f>
        <v>43.68</v>
      </c>
      <c r="V17">
        <f t="shared" ref="V17:V18" si="16">IF(B17="E",1,0)</f>
        <v>0</v>
      </c>
      <c r="W17">
        <f t="shared" ref="W17:W18" si="17">IF(B17=10,1,0)</f>
        <v>0</v>
      </c>
      <c r="AA17" s="8"/>
      <c r="AJ17" s="4"/>
    </row>
    <row r="18" spans="1:36" x14ac:dyDescent="0.25">
      <c r="A18">
        <v>20</v>
      </c>
      <c r="B18">
        <v>7</v>
      </c>
      <c r="C18" t="s">
        <v>54</v>
      </c>
      <c r="D18" s="16" t="s">
        <v>347</v>
      </c>
      <c r="F18">
        <v>44.75</v>
      </c>
      <c r="G18" t="s">
        <v>44</v>
      </c>
      <c r="H18">
        <v>0</v>
      </c>
      <c r="I18">
        <f>2*1.2*(6.5+5)</f>
        <v>27.599999999999998</v>
      </c>
      <c r="L18">
        <f>Constants!$B$2</f>
        <v>2.8</v>
      </c>
      <c r="M18" t="str">
        <f t="shared" si="12"/>
        <v>N/A</v>
      </c>
      <c r="N18">
        <f>P18*Constants!$E$2</f>
        <v>0</v>
      </c>
      <c r="P18">
        <f t="shared" si="13"/>
        <v>0</v>
      </c>
      <c r="Q18">
        <f>P18*Constants!$B$3</f>
        <v>0</v>
      </c>
      <c r="R18">
        <f t="shared" si="14"/>
        <v>0</v>
      </c>
      <c r="S18">
        <f t="shared" si="15"/>
        <v>27.599999999999998</v>
      </c>
      <c r="T18">
        <f>S18*Constants!$B$2</f>
        <v>77.279999999999987</v>
      </c>
      <c r="V18">
        <f t="shared" si="16"/>
        <v>0</v>
      </c>
      <c r="W18">
        <f t="shared" si="17"/>
        <v>0</v>
      </c>
      <c r="AA18" s="8"/>
      <c r="AJ18" s="4"/>
    </row>
    <row r="19" spans="1:36" x14ac:dyDescent="0.25">
      <c r="A19">
        <v>21</v>
      </c>
      <c r="B19">
        <v>7</v>
      </c>
      <c r="C19" t="s">
        <v>64</v>
      </c>
      <c r="D19" s="16" t="s">
        <v>348</v>
      </c>
      <c r="F19">
        <v>4.7</v>
      </c>
      <c r="G19" t="s">
        <v>44</v>
      </c>
      <c r="H19">
        <v>0</v>
      </c>
      <c r="I19">
        <f>2*1.2*(1.5+2.5)</f>
        <v>9.6</v>
      </c>
      <c r="L19">
        <f>Constants!$B$2</f>
        <v>2.8</v>
      </c>
      <c r="M19" t="str">
        <f t="shared" si="0"/>
        <v>N/A</v>
      </c>
      <c r="N19">
        <f>P19*Constants!$E$2</f>
        <v>0</v>
      </c>
      <c r="P19">
        <f t="shared" si="1"/>
        <v>0</v>
      </c>
      <c r="Q19">
        <f>P19*Constants!$B$3</f>
        <v>0</v>
      </c>
      <c r="R19">
        <f t="shared" si="2"/>
        <v>0</v>
      </c>
      <c r="S19">
        <f t="shared" si="3"/>
        <v>9.6</v>
      </c>
      <c r="T19">
        <f>S19*Constants!$B$2</f>
        <v>26.88</v>
      </c>
      <c r="V19">
        <f t="shared" si="4"/>
        <v>0</v>
      </c>
      <c r="W19">
        <f t="shared" si="5"/>
        <v>0</v>
      </c>
      <c r="AA19" s="8"/>
      <c r="AJ19" s="4"/>
    </row>
    <row r="20" spans="1:36" x14ac:dyDescent="0.25">
      <c r="A20">
        <v>22</v>
      </c>
      <c r="B20">
        <v>7</v>
      </c>
      <c r="C20" t="s">
        <v>64</v>
      </c>
      <c r="D20" s="16" t="s">
        <v>349</v>
      </c>
      <c r="F20">
        <v>4.7</v>
      </c>
      <c r="G20" t="s">
        <v>44</v>
      </c>
      <c r="H20">
        <v>0</v>
      </c>
      <c r="I20">
        <f>2*1.2*(1.5+2.5)</f>
        <v>9.6</v>
      </c>
      <c r="L20">
        <f>Constants!$B$2</f>
        <v>2.8</v>
      </c>
      <c r="M20" t="str">
        <f t="shared" si="0"/>
        <v>N/A</v>
      </c>
      <c r="N20">
        <f>P20*Constants!$E$2</f>
        <v>0</v>
      </c>
      <c r="P20">
        <f t="shared" si="1"/>
        <v>0</v>
      </c>
      <c r="Q20">
        <f>P20*Constants!$B$3</f>
        <v>0</v>
      </c>
      <c r="R20">
        <f t="shared" si="2"/>
        <v>0</v>
      </c>
      <c r="S20">
        <f t="shared" si="3"/>
        <v>9.6</v>
      </c>
      <c r="T20">
        <f>S20*Constants!$B$2</f>
        <v>26.88</v>
      </c>
      <c r="V20">
        <f t="shared" si="4"/>
        <v>0</v>
      </c>
      <c r="W20">
        <f t="shared" si="5"/>
        <v>0</v>
      </c>
      <c r="AA20" s="8"/>
      <c r="AJ20" s="4"/>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4"/>
    </row>
    <row r="390" spans="4:4" x14ac:dyDescent="0.25">
      <c r="D390" s="14"/>
    </row>
    <row r="391" spans="4:4" x14ac:dyDescent="0.25">
      <c r="D391" s="13"/>
    </row>
    <row r="392" spans="4:4" x14ac:dyDescent="0.25">
      <c r="D392" s="13"/>
    </row>
    <row r="393" spans="4:4" x14ac:dyDescent="0.25">
      <c r="D393" s="13"/>
    </row>
    <row r="394" spans="4:4" x14ac:dyDescent="0.25">
      <c r="D394" s="13"/>
    </row>
    <row r="395" spans="4:4" x14ac:dyDescent="0.25">
      <c r="D395" s="13"/>
    </row>
    <row r="396" spans="4:4" x14ac:dyDescent="0.25">
      <c r="D396" s="13"/>
    </row>
    <row r="397" spans="4:4" x14ac:dyDescent="0.25">
      <c r="D397" s="13"/>
    </row>
    <row r="398" spans="4:4" x14ac:dyDescent="0.25">
      <c r="D398" s="13"/>
    </row>
  </sheetData>
  <phoneticPr fontId="5" type="noConversion"/>
  <pageMargins left="0.7" right="0.7" top="0.78740157499999996" bottom="0.78740157499999996"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workbookViewId="0">
      <selection activeCell="B16" sqref="A1:B16"/>
    </sheetView>
  </sheetViews>
  <sheetFormatPr baseColWidth="10" defaultRowHeight="15" x14ac:dyDescent="0.25"/>
  <cols>
    <col min="1" max="1" width="17.140625" bestFit="1" customWidth="1"/>
    <col min="2" max="2" width="15.42578125" bestFit="1" customWidth="1"/>
  </cols>
  <sheetData>
    <row r="1" spans="1:2" x14ac:dyDescent="0.25">
      <c r="A1" s="2" t="s">
        <v>42</v>
      </c>
      <c r="B1" s="2" t="s">
        <v>47</v>
      </c>
    </row>
    <row r="2" spans="1:2" x14ac:dyDescent="0.25">
      <c r="A2" t="s">
        <v>43</v>
      </c>
      <c r="B2" t="s">
        <v>50</v>
      </c>
    </row>
    <row r="3" spans="1:2" x14ac:dyDescent="0.25">
      <c r="A3" t="s">
        <v>46</v>
      </c>
      <c r="B3" t="s">
        <v>45</v>
      </c>
    </row>
    <row r="4" spans="1:2" x14ac:dyDescent="0.25">
      <c r="A4" t="s">
        <v>48</v>
      </c>
      <c r="B4" t="s">
        <v>49</v>
      </c>
    </row>
    <row r="5" spans="1:2" x14ac:dyDescent="0.25">
      <c r="A5" t="s">
        <v>53</v>
      </c>
      <c r="B5" t="s">
        <v>54</v>
      </c>
    </row>
    <row r="6" spans="1:2" x14ac:dyDescent="0.25">
      <c r="A6" t="s">
        <v>56</v>
      </c>
      <c r="B6" t="s">
        <v>55</v>
      </c>
    </row>
    <row r="7" spans="1:2" x14ac:dyDescent="0.25">
      <c r="A7" t="s">
        <v>65</v>
      </c>
      <c r="B7" t="s">
        <v>57</v>
      </c>
    </row>
    <row r="8" spans="1:2" x14ac:dyDescent="0.25">
      <c r="A8" t="s">
        <v>58</v>
      </c>
      <c r="B8" t="s">
        <v>59</v>
      </c>
    </row>
    <row r="9" spans="1:2" x14ac:dyDescent="0.25">
      <c r="A9" t="s">
        <v>60</v>
      </c>
      <c r="B9" t="s">
        <v>61</v>
      </c>
    </row>
    <row r="10" spans="1:2" x14ac:dyDescent="0.25">
      <c r="A10" t="s">
        <v>63</v>
      </c>
      <c r="B10" t="s">
        <v>62</v>
      </c>
    </row>
    <row r="11" spans="1:2" x14ac:dyDescent="0.25">
      <c r="A11" t="s">
        <v>68</v>
      </c>
      <c r="B11" t="s">
        <v>67</v>
      </c>
    </row>
    <row r="12" spans="1:2" x14ac:dyDescent="0.25">
      <c r="A12" t="s">
        <v>72</v>
      </c>
      <c r="B12" t="s">
        <v>66</v>
      </c>
    </row>
    <row r="13" spans="1:2" x14ac:dyDescent="0.25">
      <c r="A13" t="s">
        <v>73</v>
      </c>
      <c r="B13" t="s">
        <v>64</v>
      </c>
    </row>
    <row r="14" spans="1:2" x14ac:dyDescent="0.25">
      <c r="A14" t="s">
        <v>75</v>
      </c>
      <c r="B14" t="s">
        <v>74</v>
      </c>
    </row>
    <row r="15" spans="1:2" x14ac:dyDescent="0.25">
      <c r="A15" t="s">
        <v>825</v>
      </c>
      <c r="B15" t="s">
        <v>826</v>
      </c>
    </row>
    <row r="16" spans="1:2" x14ac:dyDescent="0.25">
      <c r="A16" t="s">
        <v>827</v>
      </c>
      <c r="B16" t="s">
        <v>824</v>
      </c>
    </row>
  </sheetData>
  <pageMargins left="0.7" right="0.7" top="0.78740157499999996" bottom="0.78740157499999996"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91"/>
  <sheetViews>
    <sheetView zoomScaleNormal="100" workbookViewId="0">
      <pane xSplit="4" ySplit="1" topLeftCell="E2" activePane="bottomRight" state="frozen"/>
      <selection pane="topRight" activeCell="F1" sqref="F1"/>
      <selection pane="bottomLeft" activeCell="A2" sqref="A2"/>
      <selection pane="bottomRight" activeCell="D12" sqref="D12"/>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s="17" t="s">
        <v>62</v>
      </c>
      <c r="D2" s="16" t="s">
        <v>352</v>
      </c>
      <c r="F2">
        <v>122.24</v>
      </c>
      <c r="G2" t="s">
        <v>44</v>
      </c>
      <c r="H2">
        <v>0</v>
      </c>
      <c r="I2">
        <f>2*(28.8+2.9)</f>
        <v>63.4</v>
      </c>
      <c r="L2">
        <f>Constants!$B$2</f>
        <v>2.8</v>
      </c>
      <c r="M2" t="str">
        <f t="shared" ref="M2:M14" si="0">IF(N2&gt;0,G2,"N/A")</f>
        <v>N/A</v>
      </c>
      <c r="N2">
        <f>P2*Constants!$E$2</f>
        <v>0</v>
      </c>
      <c r="P2">
        <f>H2</f>
        <v>0</v>
      </c>
      <c r="Q2">
        <f>P2*Constants!$B$3</f>
        <v>0</v>
      </c>
      <c r="R2">
        <f>IF(Q2-N2&lt;=0, 0, Q2-N2)</f>
        <v>0</v>
      </c>
      <c r="S2">
        <f>I2-P2</f>
        <v>63.4</v>
      </c>
      <c r="T2">
        <f>S2*Constants!$B$2</f>
        <v>177.51999999999998</v>
      </c>
      <c r="V2">
        <f>IF(B2="E",1,0)</f>
        <v>0</v>
      </c>
      <c r="W2">
        <f>IF(B2=10,1,0)</f>
        <v>0</v>
      </c>
      <c r="AA2" s="8"/>
      <c r="AJ2" s="4"/>
    </row>
    <row r="3" spans="1:40" x14ac:dyDescent="0.25">
      <c r="A3">
        <v>2</v>
      </c>
      <c r="B3">
        <v>7</v>
      </c>
      <c r="C3" t="s">
        <v>62</v>
      </c>
      <c r="D3" s="16" t="s">
        <v>361</v>
      </c>
      <c r="F3">
        <v>9.19</v>
      </c>
      <c r="G3" t="s">
        <v>44</v>
      </c>
      <c r="H3">
        <v>0</v>
      </c>
      <c r="I3">
        <f>2*1.2*(2+3.5)</f>
        <v>13.2</v>
      </c>
      <c r="L3">
        <f>Constants!$B$2</f>
        <v>2.8</v>
      </c>
      <c r="M3" t="str">
        <f t="shared" ref="M3" si="1">IF(N3&gt;0,G3,"N/A")</f>
        <v>N/A</v>
      </c>
      <c r="N3">
        <f>P3*Constants!$E$2</f>
        <v>0</v>
      </c>
      <c r="P3">
        <f t="shared" ref="P3" si="2">H3</f>
        <v>0</v>
      </c>
      <c r="Q3">
        <f>P3*Constants!$B$3</f>
        <v>0</v>
      </c>
      <c r="R3">
        <f t="shared" ref="R3" si="3">IF(Q3-N3&lt;=0, 0, Q3-N3)</f>
        <v>0</v>
      </c>
      <c r="S3">
        <f t="shared" ref="S3" si="4">I3-P3</f>
        <v>13.2</v>
      </c>
      <c r="T3">
        <f>S3*Constants!$B$2</f>
        <v>36.959999999999994</v>
      </c>
      <c r="V3">
        <f t="shared" ref="V3" si="5">IF(B3="E",1,0)</f>
        <v>0</v>
      </c>
      <c r="W3">
        <f t="shared" ref="W3" si="6">IF(B3=10,1,0)</f>
        <v>0</v>
      </c>
      <c r="AA3" s="8"/>
      <c r="AJ3" s="4"/>
    </row>
    <row r="4" spans="1:40" x14ac:dyDescent="0.25">
      <c r="A4">
        <v>3</v>
      </c>
      <c r="B4">
        <v>7</v>
      </c>
      <c r="C4" t="s">
        <v>54</v>
      </c>
      <c r="D4" s="16" t="s">
        <v>353</v>
      </c>
      <c r="F4">
        <v>18.260000000000002</v>
      </c>
      <c r="G4" t="s">
        <v>44</v>
      </c>
      <c r="H4">
        <v>0</v>
      </c>
      <c r="I4">
        <f>2*1.2*(3+4.5)</f>
        <v>18</v>
      </c>
      <c r="L4">
        <f>Constants!$B$2</f>
        <v>2.8</v>
      </c>
      <c r="M4" t="str">
        <f t="shared" si="0"/>
        <v>N/A</v>
      </c>
      <c r="N4">
        <f>P4*Constants!$E$2</f>
        <v>0</v>
      </c>
      <c r="P4">
        <f t="shared" ref="P4:P14" si="7">H4</f>
        <v>0</v>
      </c>
      <c r="Q4">
        <f>P4*Constants!$B$3</f>
        <v>0</v>
      </c>
      <c r="R4">
        <f t="shared" ref="R4:R14" si="8">IF(Q4-N4&lt;=0, 0, Q4-N4)</f>
        <v>0</v>
      </c>
      <c r="S4">
        <f t="shared" ref="S4:S14" si="9">I4-P4</f>
        <v>18</v>
      </c>
      <c r="T4">
        <f>S4*Constants!$B$2</f>
        <v>50.4</v>
      </c>
      <c r="V4">
        <f t="shared" ref="V4:V14" si="10">IF(B4="E",1,0)</f>
        <v>0</v>
      </c>
      <c r="W4">
        <f t="shared" ref="W4:W14" si="11">IF(B4=10,1,0)</f>
        <v>0</v>
      </c>
      <c r="AA4" s="8"/>
      <c r="AJ4" s="4"/>
    </row>
    <row r="5" spans="1:40" x14ac:dyDescent="0.25">
      <c r="A5">
        <v>4</v>
      </c>
      <c r="B5">
        <v>7</v>
      </c>
      <c r="C5" t="s">
        <v>50</v>
      </c>
      <c r="D5" s="16" t="s">
        <v>354</v>
      </c>
      <c r="E5" s="16"/>
      <c r="F5">
        <v>9.83</v>
      </c>
      <c r="G5" t="s">
        <v>44</v>
      </c>
      <c r="H5">
        <v>0</v>
      </c>
      <c r="I5">
        <f>2*1.2*(2.5+3)</f>
        <v>13.2</v>
      </c>
      <c r="L5">
        <f>Constants!$B$2</f>
        <v>2.8</v>
      </c>
      <c r="M5" t="str">
        <f t="shared" si="0"/>
        <v>N/A</v>
      </c>
      <c r="N5">
        <f>P5*Constants!$E$2</f>
        <v>0</v>
      </c>
      <c r="P5">
        <f t="shared" si="7"/>
        <v>0</v>
      </c>
      <c r="Q5">
        <f>P5*Constants!$B$3</f>
        <v>0</v>
      </c>
      <c r="R5">
        <f t="shared" si="8"/>
        <v>0</v>
      </c>
      <c r="S5">
        <f t="shared" si="9"/>
        <v>13.2</v>
      </c>
      <c r="T5">
        <f>S5*Constants!$B$2</f>
        <v>36.959999999999994</v>
      </c>
      <c r="V5">
        <f t="shared" si="10"/>
        <v>0</v>
      </c>
      <c r="W5">
        <f t="shared" si="11"/>
        <v>0</v>
      </c>
      <c r="AA5" s="8"/>
      <c r="AJ5" s="4"/>
    </row>
    <row r="6" spans="1:40" x14ac:dyDescent="0.25">
      <c r="A6">
        <v>5</v>
      </c>
      <c r="B6">
        <v>7</v>
      </c>
      <c r="C6" t="s">
        <v>67</v>
      </c>
      <c r="D6" s="16" t="s">
        <v>355</v>
      </c>
      <c r="F6">
        <v>20.49</v>
      </c>
      <c r="G6" t="s">
        <v>44</v>
      </c>
      <c r="H6">
        <v>0</v>
      </c>
      <c r="I6">
        <f>2*1.2*(4+4)</f>
        <v>19.2</v>
      </c>
      <c r="L6">
        <f>Constants!$B$2</f>
        <v>2.8</v>
      </c>
      <c r="M6" t="str">
        <f t="shared" si="0"/>
        <v>N/A</v>
      </c>
      <c r="N6">
        <f>P6*Constants!$E$2</f>
        <v>0</v>
      </c>
      <c r="P6">
        <f t="shared" si="7"/>
        <v>0</v>
      </c>
      <c r="Q6">
        <f>P6*Constants!$B$3</f>
        <v>0</v>
      </c>
      <c r="R6">
        <f t="shared" si="8"/>
        <v>0</v>
      </c>
      <c r="S6">
        <f t="shared" si="9"/>
        <v>19.2</v>
      </c>
      <c r="T6">
        <f>S6*Constants!$B$2</f>
        <v>53.76</v>
      </c>
      <c r="V6">
        <f t="shared" si="10"/>
        <v>0</v>
      </c>
      <c r="W6">
        <f t="shared" si="11"/>
        <v>0</v>
      </c>
      <c r="AA6" s="8"/>
      <c r="AJ6" s="4"/>
    </row>
    <row r="7" spans="1:40" x14ac:dyDescent="0.25">
      <c r="A7">
        <v>6</v>
      </c>
      <c r="B7">
        <v>7</v>
      </c>
      <c r="C7" t="s">
        <v>54</v>
      </c>
      <c r="D7" s="16" t="s">
        <v>356</v>
      </c>
      <c r="E7" s="16"/>
      <c r="F7">
        <v>11.54</v>
      </c>
      <c r="G7" t="s">
        <v>44</v>
      </c>
      <c r="H7">
        <v>0</v>
      </c>
      <c r="I7">
        <f>2*1.2*(2.5+3.5)</f>
        <v>14.399999999999999</v>
      </c>
      <c r="L7">
        <f>Constants!$B$2</f>
        <v>2.8</v>
      </c>
      <c r="M7" t="str">
        <f t="shared" si="0"/>
        <v>N/A</v>
      </c>
      <c r="N7">
        <f>P7*Constants!$E$2</f>
        <v>0</v>
      </c>
      <c r="P7">
        <f t="shared" si="7"/>
        <v>0</v>
      </c>
      <c r="Q7">
        <f>P7*Constants!$B$3</f>
        <v>0</v>
      </c>
      <c r="R7">
        <f t="shared" si="8"/>
        <v>0</v>
      </c>
      <c r="S7">
        <f t="shared" si="9"/>
        <v>14.399999999999999</v>
      </c>
      <c r="T7">
        <f>S7*Constants!$B$2</f>
        <v>40.319999999999993</v>
      </c>
      <c r="V7">
        <f t="shared" si="10"/>
        <v>0</v>
      </c>
      <c r="W7">
        <f t="shared" si="11"/>
        <v>0</v>
      </c>
      <c r="AA7" s="8"/>
      <c r="AJ7" s="4"/>
    </row>
    <row r="8" spans="1:40" x14ac:dyDescent="0.25">
      <c r="A8">
        <v>7</v>
      </c>
      <c r="B8">
        <v>7</v>
      </c>
      <c r="C8" t="s">
        <v>45</v>
      </c>
      <c r="D8" s="16" t="s">
        <v>357</v>
      </c>
      <c r="E8" s="16"/>
      <c r="F8">
        <v>11.69</v>
      </c>
      <c r="G8" t="s">
        <v>44</v>
      </c>
      <c r="H8">
        <v>0</v>
      </c>
      <c r="I8">
        <f>2*1.2*(2.5+3.5)</f>
        <v>14.399999999999999</v>
      </c>
      <c r="L8">
        <f>Constants!$B$2</f>
        <v>2.8</v>
      </c>
      <c r="M8" t="str">
        <f t="shared" si="0"/>
        <v>N/A</v>
      </c>
      <c r="N8">
        <f>P8*Constants!$E$2</f>
        <v>0</v>
      </c>
      <c r="P8">
        <f t="shared" si="7"/>
        <v>0</v>
      </c>
      <c r="Q8">
        <f>P8*Constants!$B$3</f>
        <v>0</v>
      </c>
      <c r="R8">
        <f t="shared" si="8"/>
        <v>0</v>
      </c>
      <c r="S8">
        <f t="shared" si="9"/>
        <v>14.399999999999999</v>
      </c>
      <c r="T8">
        <f>S8*Constants!$B$2</f>
        <v>40.319999999999993</v>
      </c>
      <c r="V8">
        <f t="shared" si="10"/>
        <v>0</v>
      </c>
      <c r="W8">
        <f t="shared" si="11"/>
        <v>0</v>
      </c>
      <c r="AA8" s="8"/>
      <c r="AJ8" s="4"/>
    </row>
    <row r="9" spans="1:40" x14ac:dyDescent="0.25">
      <c r="A9">
        <v>8</v>
      </c>
      <c r="B9">
        <v>7</v>
      </c>
      <c r="C9" t="s">
        <v>62</v>
      </c>
      <c r="D9" s="16" t="s">
        <v>358</v>
      </c>
      <c r="E9" s="16"/>
      <c r="F9">
        <v>23.57</v>
      </c>
      <c r="G9" t="s">
        <v>44</v>
      </c>
      <c r="H9">
        <v>0</v>
      </c>
      <c r="I9">
        <f>2*1.2*(3.5+4.5)</f>
        <v>19.2</v>
      </c>
      <c r="L9">
        <f>Constants!$B$2</f>
        <v>2.8</v>
      </c>
      <c r="M9" t="str">
        <f t="shared" si="0"/>
        <v>N/A</v>
      </c>
      <c r="N9">
        <f>P9*Constants!$E$2</f>
        <v>0</v>
      </c>
      <c r="P9">
        <f t="shared" si="7"/>
        <v>0</v>
      </c>
      <c r="Q9">
        <f>P9*Constants!$B$3</f>
        <v>0</v>
      </c>
      <c r="R9">
        <f t="shared" si="8"/>
        <v>0</v>
      </c>
      <c r="S9">
        <f t="shared" si="9"/>
        <v>19.2</v>
      </c>
      <c r="T9">
        <f>S9*Constants!$B$2</f>
        <v>53.76</v>
      </c>
      <c r="V9">
        <f t="shared" si="10"/>
        <v>0</v>
      </c>
      <c r="W9">
        <f t="shared" si="11"/>
        <v>0</v>
      </c>
      <c r="AA9" s="8"/>
      <c r="AJ9" s="4"/>
    </row>
    <row r="10" spans="1:40" x14ac:dyDescent="0.25">
      <c r="A10">
        <v>9</v>
      </c>
      <c r="B10">
        <v>7</v>
      </c>
      <c r="C10" t="s">
        <v>54</v>
      </c>
      <c r="D10" s="16" t="s">
        <v>359</v>
      </c>
      <c r="E10" s="16"/>
      <c r="F10">
        <v>24.41</v>
      </c>
      <c r="G10" t="s">
        <v>44</v>
      </c>
      <c r="H10">
        <v>0</v>
      </c>
      <c r="I10">
        <f>2*1.2*(4+4.5)</f>
        <v>20.399999999999999</v>
      </c>
      <c r="L10">
        <f>Constants!$B$2</f>
        <v>2.8</v>
      </c>
      <c r="M10" t="str">
        <f t="shared" si="0"/>
        <v>N/A</v>
      </c>
      <c r="N10">
        <f>P10*Constants!$E$2</f>
        <v>0</v>
      </c>
      <c r="P10">
        <f t="shared" si="7"/>
        <v>0</v>
      </c>
      <c r="Q10">
        <f>P10*Constants!$B$3</f>
        <v>0</v>
      </c>
      <c r="R10">
        <f t="shared" si="8"/>
        <v>0</v>
      </c>
      <c r="S10">
        <f t="shared" si="9"/>
        <v>20.399999999999999</v>
      </c>
      <c r="T10">
        <f>S10*Constants!$B$2</f>
        <v>57.11999999999999</v>
      </c>
      <c r="V10">
        <f t="shared" si="10"/>
        <v>0</v>
      </c>
      <c r="W10">
        <f t="shared" si="11"/>
        <v>0</v>
      </c>
      <c r="AA10" s="8"/>
      <c r="AJ10" s="4"/>
    </row>
    <row r="11" spans="1:40" x14ac:dyDescent="0.25">
      <c r="A11">
        <v>12</v>
      </c>
      <c r="B11">
        <v>7</v>
      </c>
      <c r="C11" t="s">
        <v>59</v>
      </c>
      <c r="D11" s="16" t="s">
        <v>360</v>
      </c>
      <c r="F11">
        <v>14.96</v>
      </c>
      <c r="G11" t="s">
        <v>44</v>
      </c>
      <c r="H11">
        <v>0</v>
      </c>
      <c r="I11">
        <f>2*1.2*(2.5+4.5)</f>
        <v>16.8</v>
      </c>
      <c r="L11">
        <f>Constants!$B$2</f>
        <v>2.8</v>
      </c>
      <c r="M11" t="str">
        <f t="shared" si="0"/>
        <v>N/A</v>
      </c>
      <c r="N11">
        <f>P11*Constants!$E$2</f>
        <v>0</v>
      </c>
      <c r="P11">
        <f t="shared" si="7"/>
        <v>0</v>
      </c>
      <c r="Q11">
        <f>P11*Constants!$B$3</f>
        <v>0</v>
      </c>
      <c r="R11">
        <f t="shared" si="8"/>
        <v>0</v>
      </c>
      <c r="S11">
        <f t="shared" si="9"/>
        <v>16.8</v>
      </c>
      <c r="T11">
        <f>S11*Constants!$B$2</f>
        <v>47.04</v>
      </c>
      <c r="V11">
        <f t="shared" si="10"/>
        <v>0</v>
      </c>
      <c r="W11">
        <f t="shared" si="11"/>
        <v>0</v>
      </c>
      <c r="AA11" s="8"/>
      <c r="AJ11" s="4"/>
    </row>
    <row r="12" spans="1:40" x14ac:dyDescent="0.25">
      <c r="A12">
        <v>13</v>
      </c>
      <c r="B12">
        <v>7</v>
      </c>
      <c r="C12" t="s">
        <v>54</v>
      </c>
      <c r="D12" s="16" t="s">
        <v>362</v>
      </c>
      <c r="F12">
        <v>14.96</v>
      </c>
      <c r="G12" t="s">
        <v>44</v>
      </c>
      <c r="H12">
        <v>0</v>
      </c>
      <c r="I12">
        <f>2*1.2*(2.5+4.5)</f>
        <v>16.8</v>
      </c>
      <c r="L12">
        <f>Constants!$B$2</f>
        <v>2.8</v>
      </c>
      <c r="M12" t="str">
        <f t="shared" si="0"/>
        <v>N/A</v>
      </c>
      <c r="N12">
        <f>P12*Constants!$E$2</f>
        <v>0</v>
      </c>
      <c r="P12">
        <f t="shared" si="7"/>
        <v>0</v>
      </c>
      <c r="Q12">
        <f>P12*Constants!$B$3</f>
        <v>0</v>
      </c>
      <c r="R12">
        <f t="shared" si="8"/>
        <v>0</v>
      </c>
      <c r="S12">
        <f t="shared" si="9"/>
        <v>16.8</v>
      </c>
      <c r="T12">
        <f>S12*Constants!$B$2</f>
        <v>47.04</v>
      </c>
      <c r="V12">
        <f t="shared" si="10"/>
        <v>0</v>
      </c>
      <c r="W12">
        <f t="shared" si="11"/>
        <v>0</v>
      </c>
      <c r="AA12" s="8"/>
      <c r="AJ12" s="4"/>
    </row>
    <row r="13" spans="1:40" x14ac:dyDescent="0.25">
      <c r="A13">
        <v>14</v>
      </c>
      <c r="B13">
        <v>7</v>
      </c>
      <c r="C13" t="s">
        <v>54</v>
      </c>
      <c r="D13" s="16" t="s">
        <v>363</v>
      </c>
      <c r="F13">
        <v>14.9</v>
      </c>
      <c r="G13" t="s">
        <v>44</v>
      </c>
      <c r="H13">
        <v>0</v>
      </c>
      <c r="I13">
        <f>2*1.2*(2.5+4.5)</f>
        <v>16.8</v>
      </c>
      <c r="L13">
        <f>Constants!$B$2</f>
        <v>2.8</v>
      </c>
      <c r="M13" t="str">
        <f t="shared" si="0"/>
        <v>N/A</v>
      </c>
      <c r="N13">
        <f>P13*Constants!$E$2</f>
        <v>0</v>
      </c>
      <c r="P13">
        <f t="shared" si="7"/>
        <v>0</v>
      </c>
      <c r="Q13">
        <f>P13*Constants!$B$3</f>
        <v>0</v>
      </c>
      <c r="R13">
        <f t="shared" si="8"/>
        <v>0</v>
      </c>
      <c r="S13">
        <f t="shared" si="9"/>
        <v>16.8</v>
      </c>
      <c r="T13">
        <f>S13*Constants!$B$2</f>
        <v>47.04</v>
      </c>
      <c r="V13">
        <f t="shared" si="10"/>
        <v>0</v>
      </c>
      <c r="W13">
        <f t="shared" si="11"/>
        <v>0</v>
      </c>
      <c r="AA13" s="8"/>
      <c r="AJ13" s="4"/>
    </row>
    <row r="14" spans="1:40" x14ac:dyDescent="0.25">
      <c r="A14">
        <v>15</v>
      </c>
      <c r="B14">
        <v>7</v>
      </c>
      <c r="C14" t="s">
        <v>54</v>
      </c>
      <c r="D14" s="16" t="s">
        <v>364</v>
      </c>
      <c r="F14">
        <v>14.9</v>
      </c>
      <c r="G14" t="s">
        <v>44</v>
      </c>
      <c r="H14">
        <v>0</v>
      </c>
      <c r="I14">
        <f>2*1.2*(2.5+4.5)</f>
        <v>16.8</v>
      </c>
      <c r="L14">
        <f>Constants!$B$2</f>
        <v>2.8</v>
      </c>
      <c r="M14" t="str">
        <f t="shared" si="0"/>
        <v>N/A</v>
      </c>
      <c r="N14">
        <f>P14*Constants!$E$2</f>
        <v>0</v>
      </c>
      <c r="P14">
        <f t="shared" si="7"/>
        <v>0</v>
      </c>
      <c r="Q14">
        <f>P14*Constants!$B$3</f>
        <v>0</v>
      </c>
      <c r="R14">
        <f t="shared" si="8"/>
        <v>0</v>
      </c>
      <c r="S14">
        <f t="shared" si="9"/>
        <v>16.8</v>
      </c>
      <c r="T14">
        <f>S14*Constants!$B$2</f>
        <v>47.04</v>
      </c>
      <c r="V14">
        <f t="shared" si="10"/>
        <v>0</v>
      </c>
      <c r="W14">
        <f t="shared" si="11"/>
        <v>0</v>
      </c>
      <c r="AA14" s="8"/>
      <c r="AJ14" s="4"/>
    </row>
    <row r="15" spans="1:40" x14ac:dyDescent="0.25">
      <c r="A15">
        <v>16</v>
      </c>
      <c r="B15">
        <v>7</v>
      </c>
      <c r="C15" t="s">
        <v>54</v>
      </c>
      <c r="D15" s="16" t="s">
        <v>365</v>
      </c>
      <c r="F15">
        <v>44.89</v>
      </c>
      <c r="G15" t="s">
        <v>44</v>
      </c>
      <c r="H15">
        <v>0</v>
      </c>
      <c r="I15">
        <f>2*1.2*(5+6.5)</f>
        <v>27.599999999999998</v>
      </c>
      <c r="L15">
        <f>Constants!$B$2</f>
        <v>2.8</v>
      </c>
      <c r="M15" t="str">
        <f t="shared" ref="M15:M18" si="12">IF(N15&gt;0,G15,"N/A")</f>
        <v>N/A</v>
      </c>
      <c r="N15">
        <f>P15*Constants!$E$2</f>
        <v>0</v>
      </c>
      <c r="P15">
        <f t="shared" ref="P15:P18" si="13">H15</f>
        <v>0</v>
      </c>
      <c r="Q15">
        <f>P15*Constants!$B$3</f>
        <v>0</v>
      </c>
      <c r="R15">
        <f t="shared" ref="R15:R18" si="14">IF(Q15-N15&lt;=0, 0, Q15-N15)</f>
        <v>0</v>
      </c>
      <c r="S15">
        <f t="shared" ref="S15:S18" si="15">I15-P15</f>
        <v>27.599999999999998</v>
      </c>
      <c r="T15">
        <f>S15*Constants!$B$2</f>
        <v>77.279999999999987</v>
      </c>
      <c r="V15">
        <f t="shared" ref="V15:V18" si="16">IF(B15="E",1,0)</f>
        <v>0</v>
      </c>
      <c r="W15">
        <f t="shared" ref="W15:W18" si="17">IF(B15=10,1,0)</f>
        <v>0</v>
      </c>
      <c r="AA15" s="8"/>
      <c r="AJ15" s="4"/>
    </row>
    <row r="16" spans="1:40" x14ac:dyDescent="0.25">
      <c r="A16">
        <v>17</v>
      </c>
      <c r="B16">
        <v>7</v>
      </c>
      <c r="C16" t="s">
        <v>64</v>
      </c>
      <c r="D16" s="16" t="s">
        <v>366</v>
      </c>
      <c r="F16">
        <v>4.7</v>
      </c>
      <c r="G16" t="s">
        <v>44</v>
      </c>
      <c r="H16">
        <v>0</v>
      </c>
      <c r="I16">
        <f>2*1.2*(2.5+1.5)</f>
        <v>9.6</v>
      </c>
      <c r="L16">
        <f>Constants!$B$2</f>
        <v>2.8</v>
      </c>
      <c r="M16" t="str">
        <f t="shared" si="12"/>
        <v>N/A</v>
      </c>
      <c r="N16">
        <f>P16*Constants!$E$2</f>
        <v>0</v>
      </c>
      <c r="P16">
        <f t="shared" si="13"/>
        <v>0</v>
      </c>
      <c r="Q16">
        <f>P16*Constants!$B$3</f>
        <v>0</v>
      </c>
      <c r="R16">
        <f t="shared" si="14"/>
        <v>0</v>
      </c>
      <c r="S16">
        <f t="shared" si="15"/>
        <v>9.6</v>
      </c>
      <c r="T16">
        <f>S16*Constants!$B$2</f>
        <v>26.88</v>
      </c>
      <c r="V16">
        <f t="shared" si="16"/>
        <v>0</v>
      </c>
      <c r="W16">
        <f t="shared" si="17"/>
        <v>0</v>
      </c>
      <c r="AA16" s="8"/>
      <c r="AJ16" s="4"/>
    </row>
    <row r="17" spans="1:36" x14ac:dyDescent="0.25">
      <c r="A17">
        <v>18</v>
      </c>
      <c r="B17">
        <v>7</v>
      </c>
      <c r="C17" t="s">
        <v>64</v>
      </c>
      <c r="D17" s="16" t="s">
        <v>367</v>
      </c>
      <c r="F17">
        <v>4.7</v>
      </c>
      <c r="G17" t="s">
        <v>44</v>
      </c>
      <c r="H17">
        <v>0</v>
      </c>
      <c r="I17">
        <f>2*1.2*(2.5+1.5)</f>
        <v>9.6</v>
      </c>
      <c r="L17">
        <f>Constants!$B$2</f>
        <v>2.8</v>
      </c>
      <c r="M17" t="str">
        <f t="shared" si="12"/>
        <v>N/A</v>
      </c>
      <c r="N17">
        <f>P17*Constants!$E$2</f>
        <v>0</v>
      </c>
      <c r="P17">
        <f t="shared" si="13"/>
        <v>0</v>
      </c>
      <c r="Q17">
        <f>P17*Constants!$B$3</f>
        <v>0</v>
      </c>
      <c r="R17">
        <f t="shared" si="14"/>
        <v>0</v>
      </c>
      <c r="S17">
        <f t="shared" si="15"/>
        <v>9.6</v>
      </c>
      <c r="T17">
        <f>S17*Constants!$B$2</f>
        <v>26.88</v>
      </c>
      <c r="V17">
        <f t="shared" si="16"/>
        <v>0</v>
      </c>
      <c r="W17">
        <f t="shared" si="17"/>
        <v>0</v>
      </c>
      <c r="AA17" s="8"/>
      <c r="AJ17" s="4"/>
    </row>
    <row r="18" spans="1:36" x14ac:dyDescent="0.25">
      <c r="A18">
        <v>19</v>
      </c>
      <c r="B18">
        <v>7</v>
      </c>
      <c r="C18" t="s">
        <v>54</v>
      </c>
      <c r="D18" s="16" t="s">
        <v>368</v>
      </c>
      <c r="F18">
        <v>19.27</v>
      </c>
      <c r="G18" t="s">
        <v>44</v>
      </c>
      <c r="H18">
        <v>0</v>
      </c>
      <c r="I18">
        <f>2*1.2*(3+5)</f>
        <v>19.2</v>
      </c>
      <c r="L18">
        <f>Constants!$B$2</f>
        <v>2.8</v>
      </c>
      <c r="M18" t="str">
        <f t="shared" si="12"/>
        <v>N/A</v>
      </c>
      <c r="N18">
        <f>P18*Constants!$E$2</f>
        <v>0</v>
      </c>
      <c r="P18">
        <f t="shared" si="13"/>
        <v>0</v>
      </c>
      <c r="Q18">
        <f>P18*Constants!$B$3</f>
        <v>0</v>
      </c>
      <c r="R18">
        <f t="shared" si="14"/>
        <v>0</v>
      </c>
      <c r="S18">
        <f t="shared" si="15"/>
        <v>19.2</v>
      </c>
      <c r="T18">
        <f>S18*Constants!$B$2</f>
        <v>53.76</v>
      </c>
      <c r="V18">
        <f t="shared" si="16"/>
        <v>0</v>
      </c>
      <c r="W18">
        <f t="shared" si="17"/>
        <v>0</v>
      </c>
      <c r="AA18" s="8"/>
      <c r="AJ18" s="4"/>
    </row>
    <row r="19" spans="1:36" x14ac:dyDescent="0.25">
      <c r="A19">
        <v>20</v>
      </c>
      <c r="B19">
        <v>7</v>
      </c>
      <c r="C19" t="s">
        <v>54</v>
      </c>
      <c r="D19" s="16" t="s">
        <v>369</v>
      </c>
      <c r="F19">
        <v>19.28</v>
      </c>
      <c r="G19" t="s">
        <v>44</v>
      </c>
      <c r="H19">
        <v>0</v>
      </c>
      <c r="I19">
        <f>2*1.2*(3+5)</f>
        <v>19.2</v>
      </c>
      <c r="L19">
        <f>Constants!$B$2</f>
        <v>2.8</v>
      </c>
      <c r="M19" t="str">
        <f t="shared" ref="M19:M22" si="18">IF(N19&gt;0,G19,"N/A")</f>
        <v>N/A</v>
      </c>
      <c r="N19">
        <f>P19*Constants!$E$2</f>
        <v>0</v>
      </c>
      <c r="P19">
        <f t="shared" ref="P19:P22" si="19">H19</f>
        <v>0</v>
      </c>
      <c r="Q19">
        <f>P19*Constants!$B$3</f>
        <v>0</v>
      </c>
      <c r="R19">
        <f t="shared" ref="R19:R22" si="20">IF(Q19-N19&lt;=0, 0, Q19-N19)</f>
        <v>0</v>
      </c>
      <c r="S19">
        <f t="shared" ref="S19:S22" si="21">I19-P19</f>
        <v>19.2</v>
      </c>
      <c r="T19">
        <f>S19*Constants!$B$2</f>
        <v>53.76</v>
      </c>
      <c r="V19">
        <f t="shared" ref="V19:V22" si="22">IF(B19="E",1,0)</f>
        <v>0</v>
      </c>
      <c r="W19">
        <f t="shared" ref="W19:W22" si="23">IF(B19=10,1,0)</f>
        <v>0</v>
      </c>
      <c r="AA19" s="8"/>
      <c r="AJ19" s="4"/>
    </row>
    <row r="20" spans="1:36" x14ac:dyDescent="0.25">
      <c r="A20">
        <v>21</v>
      </c>
      <c r="B20">
        <v>7</v>
      </c>
      <c r="C20" t="s">
        <v>372</v>
      </c>
      <c r="D20" s="16" t="s">
        <v>370</v>
      </c>
      <c r="F20">
        <v>20.18</v>
      </c>
      <c r="G20" t="s">
        <v>44</v>
      </c>
      <c r="H20">
        <v>0</v>
      </c>
      <c r="I20">
        <f>2*1.2*(3+5)</f>
        <v>19.2</v>
      </c>
      <c r="L20">
        <f>Constants!$B$2</f>
        <v>2.8</v>
      </c>
      <c r="M20" t="str">
        <f t="shared" si="18"/>
        <v>N/A</v>
      </c>
      <c r="N20">
        <f>P20*Constants!$E$2</f>
        <v>0</v>
      </c>
      <c r="P20">
        <f t="shared" si="19"/>
        <v>0</v>
      </c>
      <c r="Q20">
        <f>P20*Constants!$B$3</f>
        <v>0</v>
      </c>
      <c r="R20">
        <f t="shared" si="20"/>
        <v>0</v>
      </c>
      <c r="S20">
        <f t="shared" si="21"/>
        <v>19.2</v>
      </c>
      <c r="T20">
        <f>S20*Constants!$B$2</f>
        <v>53.76</v>
      </c>
      <c r="V20">
        <f t="shared" si="22"/>
        <v>0</v>
      </c>
      <c r="W20">
        <f t="shared" si="23"/>
        <v>0</v>
      </c>
      <c r="AA20" s="8"/>
      <c r="AJ20" s="4"/>
    </row>
    <row r="21" spans="1:36" x14ac:dyDescent="0.25">
      <c r="A21">
        <v>22</v>
      </c>
      <c r="B21">
        <v>7</v>
      </c>
      <c r="C21" t="s">
        <v>372</v>
      </c>
      <c r="D21" s="16" t="s">
        <v>373</v>
      </c>
      <c r="E21" s="16" t="s">
        <v>370</v>
      </c>
      <c r="F21">
        <v>12.4</v>
      </c>
      <c r="G21" t="s">
        <v>44</v>
      </c>
      <c r="H21">
        <v>0</v>
      </c>
      <c r="I21">
        <f>2*1.2*(3+3)</f>
        <v>14.399999999999999</v>
      </c>
      <c r="L21">
        <f>Constants!$B$2</f>
        <v>2.8</v>
      </c>
      <c r="M21" t="str">
        <f t="shared" si="18"/>
        <v>N/A</v>
      </c>
      <c r="N21">
        <f>P21*Constants!$E$2</f>
        <v>0</v>
      </c>
      <c r="P21">
        <f t="shared" si="19"/>
        <v>0</v>
      </c>
      <c r="Q21">
        <f>P21*Constants!$B$3</f>
        <v>0</v>
      </c>
      <c r="R21">
        <f t="shared" si="20"/>
        <v>0</v>
      </c>
      <c r="S21">
        <f t="shared" si="21"/>
        <v>14.399999999999999</v>
      </c>
      <c r="T21">
        <f>S21*Constants!$B$2</f>
        <v>40.319999999999993</v>
      </c>
      <c r="V21">
        <f t="shared" si="22"/>
        <v>0</v>
      </c>
      <c r="W21">
        <f t="shared" si="23"/>
        <v>0</v>
      </c>
      <c r="AA21" s="8"/>
      <c r="AJ21" s="4"/>
    </row>
    <row r="22" spans="1:36" x14ac:dyDescent="0.25">
      <c r="A22">
        <v>23</v>
      </c>
      <c r="B22">
        <v>7</v>
      </c>
      <c r="C22" t="s">
        <v>54</v>
      </c>
      <c r="D22" s="16" t="s">
        <v>371</v>
      </c>
      <c r="F22">
        <v>7.78</v>
      </c>
      <c r="G22" t="s">
        <v>44</v>
      </c>
      <c r="H22">
        <v>0</v>
      </c>
      <c r="I22">
        <f>2*1.2*(3+2)</f>
        <v>12</v>
      </c>
      <c r="L22">
        <f>Constants!$B$2</f>
        <v>2.8</v>
      </c>
      <c r="M22" t="str">
        <f t="shared" si="18"/>
        <v>N/A</v>
      </c>
      <c r="N22">
        <f>P22*Constants!$E$2</f>
        <v>0</v>
      </c>
      <c r="P22">
        <f t="shared" si="19"/>
        <v>0</v>
      </c>
      <c r="Q22">
        <f>P22*Constants!$B$3</f>
        <v>0</v>
      </c>
      <c r="R22">
        <f t="shared" si="20"/>
        <v>0</v>
      </c>
      <c r="S22">
        <f t="shared" si="21"/>
        <v>12</v>
      </c>
      <c r="T22">
        <f>S22*Constants!$B$2</f>
        <v>33.599999999999994</v>
      </c>
      <c r="V22">
        <f t="shared" si="22"/>
        <v>0</v>
      </c>
      <c r="W22">
        <f t="shared" si="23"/>
        <v>0</v>
      </c>
      <c r="AA22" s="8"/>
      <c r="AJ22" s="4"/>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4"/>
    </row>
    <row r="383" spans="4:4" x14ac:dyDescent="0.25">
      <c r="D383" s="14"/>
    </row>
    <row r="384" spans="4:4" x14ac:dyDescent="0.25">
      <c r="D384" s="13"/>
    </row>
    <row r="385" spans="4:4" x14ac:dyDescent="0.25">
      <c r="D385" s="13"/>
    </row>
    <row r="386" spans="4:4" x14ac:dyDescent="0.25">
      <c r="D386" s="13"/>
    </row>
    <row r="387" spans="4:4" x14ac:dyDescent="0.25">
      <c r="D387" s="13"/>
    </row>
    <row r="388" spans="4:4" x14ac:dyDescent="0.25">
      <c r="D388" s="13"/>
    </row>
    <row r="389" spans="4:4" x14ac:dyDescent="0.25">
      <c r="D389" s="13"/>
    </row>
    <row r="390" spans="4:4" x14ac:dyDescent="0.25">
      <c r="D390" s="13"/>
    </row>
    <row r="391" spans="4:4" x14ac:dyDescent="0.25">
      <c r="D391" s="13"/>
    </row>
  </sheetData>
  <phoneticPr fontId="5" type="noConversion"/>
  <pageMargins left="0.7" right="0.7" top="0.78740157499999996" bottom="0.78740157499999996"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78"/>
  <sheetViews>
    <sheetView zoomScaleNormal="100" workbookViewId="0">
      <pane xSplit="4" ySplit="1" topLeftCell="E6" activePane="bottomRight" state="frozen"/>
      <selection pane="topRight" activeCell="F1" sqref="F1"/>
      <selection pane="bottomLeft" activeCell="A2" sqref="A2"/>
      <selection pane="bottomRight" activeCell="C24" sqref="C2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s="17" t="s">
        <v>62</v>
      </c>
      <c r="D2" s="16" t="s">
        <v>374</v>
      </c>
      <c r="F2">
        <v>36.299999999999997</v>
      </c>
      <c r="G2" t="s">
        <v>44</v>
      </c>
      <c r="H2">
        <v>0</v>
      </c>
      <c r="I2">
        <f>1.2*2*(2.5+12)</f>
        <v>34.799999999999997</v>
      </c>
      <c r="L2">
        <f>Constants!$B$2</f>
        <v>2.8</v>
      </c>
      <c r="M2" t="str">
        <f t="shared" ref="M2:M19" si="0">IF(N2&gt;0,G2,"N/A")</f>
        <v>N/A</v>
      </c>
      <c r="N2">
        <f>P2*Constants!$E$2</f>
        <v>0</v>
      </c>
      <c r="P2">
        <f>H2</f>
        <v>0</v>
      </c>
      <c r="Q2">
        <f>P2*Constants!$B$3</f>
        <v>0</v>
      </c>
      <c r="R2">
        <f>IF(Q2-N2&lt;=0, 0, Q2-N2)</f>
        <v>0</v>
      </c>
      <c r="S2">
        <f>I2-P2</f>
        <v>34.799999999999997</v>
      </c>
      <c r="T2">
        <f>S2*Constants!$B$2</f>
        <v>97.439999999999984</v>
      </c>
      <c r="V2">
        <f>IF(B2="E",1,0)</f>
        <v>0</v>
      </c>
      <c r="W2">
        <f>IF(B2=10,1,0)</f>
        <v>0</v>
      </c>
      <c r="AA2" s="8"/>
      <c r="AJ2" s="4"/>
    </row>
    <row r="3" spans="1:40" x14ac:dyDescent="0.25">
      <c r="A3">
        <v>2</v>
      </c>
      <c r="B3">
        <v>7</v>
      </c>
      <c r="C3" t="s">
        <v>62</v>
      </c>
      <c r="D3" s="16" t="s">
        <v>376</v>
      </c>
      <c r="F3">
        <v>57.77</v>
      </c>
      <c r="G3" t="s">
        <v>44</v>
      </c>
      <c r="H3">
        <v>0</v>
      </c>
      <c r="I3">
        <f>2*1.2*(8+6)</f>
        <v>33.6</v>
      </c>
      <c r="L3">
        <f>Constants!$B$2</f>
        <v>2.8</v>
      </c>
      <c r="M3" t="str">
        <f t="shared" ref="M3:M4" si="1">IF(N3&gt;0,G3,"N/A")</f>
        <v>N/A</v>
      </c>
      <c r="N3">
        <f>P3*Constants!$E$2</f>
        <v>0</v>
      </c>
      <c r="P3">
        <f t="shared" ref="P3:P4" si="2">H3</f>
        <v>0</v>
      </c>
      <c r="Q3">
        <f>P3*Constants!$B$3</f>
        <v>0</v>
      </c>
      <c r="R3">
        <f t="shared" ref="R3:R4" si="3">IF(Q3-N3&lt;=0, 0, Q3-N3)</f>
        <v>0</v>
      </c>
      <c r="S3">
        <f t="shared" ref="S3:S4" si="4">I3-P3</f>
        <v>33.6</v>
      </c>
      <c r="T3">
        <f>S3*Constants!$B$2</f>
        <v>94.08</v>
      </c>
      <c r="V3">
        <f t="shared" ref="V3:V4" si="5">IF(B3="E",1,0)</f>
        <v>0</v>
      </c>
      <c r="W3">
        <f t="shared" ref="W3:W4" si="6">IF(B3=10,1,0)</f>
        <v>0</v>
      </c>
      <c r="AA3" s="8"/>
      <c r="AJ3" s="4"/>
    </row>
    <row r="4" spans="1:40" x14ac:dyDescent="0.25">
      <c r="A4">
        <v>3</v>
      </c>
      <c r="B4">
        <v>7</v>
      </c>
      <c r="C4" t="s">
        <v>67</v>
      </c>
      <c r="D4" s="16" t="s">
        <v>377</v>
      </c>
      <c r="E4" s="16"/>
      <c r="F4">
        <v>25.3</v>
      </c>
      <c r="G4" t="s">
        <v>44</v>
      </c>
      <c r="H4">
        <v>0</v>
      </c>
      <c r="I4">
        <f>2*1.2*(3+6.5)</f>
        <v>22.8</v>
      </c>
      <c r="L4">
        <f>Constants!$B$2</f>
        <v>2.8</v>
      </c>
      <c r="M4" t="str">
        <f t="shared" si="1"/>
        <v>N/A</v>
      </c>
      <c r="N4">
        <f>P4*Constants!$E$2</f>
        <v>0</v>
      </c>
      <c r="P4">
        <f t="shared" si="2"/>
        <v>0</v>
      </c>
      <c r="Q4">
        <f>P4*Constants!$B$3</f>
        <v>0</v>
      </c>
      <c r="R4">
        <f t="shared" si="3"/>
        <v>0</v>
      </c>
      <c r="S4">
        <f t="shared" si="4"/>
        <v>22.8</v>
      </c>
      <c r="T4">
        <f>S4*Constants!$B$2</f>
        <v>63.839999999999996</v>
      </c>
      <c r="V4">
        <f t="shared" si="5"/>
        <v>0</v>
      </c>
      <c r="W4">
        <f t="shared" si="6"/>
        <v>0</v>
      </c>
      <c r="AA4" s="8"/>
      <c r="AJ4" s="4"/>
    </row>
    <row r="5" spans="1:40" x14ac:dyDescent="0.25">
      <c r="A5">
        <v>4</v>
      </c>
      <c r="B5">
        <v>7</v>
      </c>
      <c r="C5" t="s">
        <v>67</v>
      </c>
      <c r="D5" s="16" t="s">
        <v>375</v>
      </c>
      <c r="F5">
        <v>25.3</v>
      </c>
      <c r="G5" t="s">
        <v>44</v>
      </c>
      <c r="H5">
        <v>0</v>
      </c>
      <c r="I5">
        <f>2*1.2*(3+6.5)</f>
        <v>22.8</v>
      </c>
      <c r="L5">
        <f>Constants!$B$2</f>
        <v>2.8</v>
      </c>
      <c r="M5" t="str">
        <f t="shared" si="0"/>
        <v>N/A</v>
      </c>
      <c r="N5">
        <f>P5*Constants!$E$2</f>
        <v>0</v>
      </c>
      <c r="P5">
        <f t="shared" ref="P5:P19" si="7">H5</f>
        <v>0</v>
      </c>
      <c r="Q5">
        <f>P5*Constants!$B$3</f>
        <v>0</v>
      </c>
      <c r="R5">
        <f t="shared" ref="R5:R19" si="8">IF(Q5-N5&lt;=0, 0, Q5-N5)</f>
        <v>0</v>
      </c>
      <c r="S5">
        <f t="shared" ref="S5:S19" si="9">I5-P5</f>
        <v>22.8</v>
      </c>
      <c r="T5">
        <f>S5*Constants!$B$2</f>
        <v>63.839999999999996</v>
      </c>
      <c r="V5">
        <f t="shared" ref="V5:V19" si="10">IF(B5="E",1,0)</f>
        <v>0</v>
      </c>
      <c r="W5">
        <f t="shared" ref="W5:W19" si="11">IF(B5=10,1,0)</f>
        <v>0</v>
      </c>
      <c r="AA5" s="8"/>
      <c r="AJ5" s="4"/>
    </row>
    <row r="6" spans="1:40" x14ac:dyDescent="0.25">
      <c r="A6">
        <v>5</v>
      </c>
      <c r="B6">
        <v>7</v>
      </c>
      <c r="C6" t="s">
        <v>57</v>
      </c>
      <c r="D6" s="16" t="s">
        <v>378</v>
      </c>
      <c r="E6" s="16" t="s">
        <v>377</v>
      </c>
      <c r="F6">
        <f>2.7*1.2</f>
        <v>3.24</v>
      </c>
      <c r="G6" t="s">
        <v>44</v>
      </c>
      <c r="H6">
        <v>0</v>
      </c>
      <c r="I6">
        <f>2*1.2*(1+2.5)</f>
        <v>8.4</v>
      </c>
      <c r="L6">
        <f>Constants!$B$2</f>
        <v>2.8</v>
      </c>
      <c r="M6" t="str">
        <f t="shared" si="0"/>
        <v>N/A</v>
      </c>
      <c r="N6">
        <f>P6*Constants!$E$2</f>
        <v>0</v>
      </c>
      <c r="P6">
        <f t="shared" si="7"/>
        <v>0</v>
      </c>
      <c r="Q6">
        <f>P6*Constants!$B$3</f>
        <v>0</v>
      </c>
      <c r="R6">
        <f t="shared" si="8"/>
        <v>0</v>
      </c>
      <c r="S6">
        <f t="shared" si="9"/>
        <v>8.4</v>
      </c>
      <c r="T6">
        <f>S6*Constants!$B$2</f>
        <v>23.52</v>
      </c>
      <c r="V6">
        <f t="shared" si="10"/>
        <v>0</v>
      </c>
      <c r="W6">
        <f t="shared" si="11"/>
        <v>0</v>
      </c>
      <c r="AA6" s="8"/>
      <c r="AJ6" s="4"/>
    </row>
    <row r="7" spans="1:40" x14ac:dyDescent="0.25">
      <c r="A7">
        <v>6</v>
      </c>
      <c r="B7">
        <v>7</v>
      </c>
      <c r="C7" t="s">
        <v>57</v>
      </c>
      <c r="D7" s="16" t="s">
        <v>379</v>
      </c>
      <c r="E7" s="16" t="s">
        <v>375</v>
      </c>
      <c r="F7">
        <f>2.7*1.2</f>
        <v>3.24</v>
      </c>
      <c r="G7" t="s">
        <v>44</v>
      </c>
      <c r="H7">
        <v>0</v>
      </c>
      <c r="I7">
        <f>2*1.2*(1+2.5)</f>
        <v>8.4</v>
      </c>
      <c r="L7">
        <f>Constants!$B$2</f>
        <v>2.8</v>
      </c>
      <c r="M7" t="str">
        <f t="shared" si="0"/>
        <v>N/A</v>
      </c>
      <c r="N7">
        <f>P7*Constants!$E$2</f>
        <v>0</v>
      </c>
      <c r="P7">
        <f t="shared" si="7"/>
        <v>0</v>
      </c>
      <c r="Q7">
        <f>P7*Constants!$B$3</f>
        <v>0</v>
      </c>
      <c r="R7">
        <f t="shared" si="8"/>
        <v>0</v>
      </c>
      <c r="S7">
        <f t="shared" si="9"/>
        <v>8.4</v>
      </c>
      <c r="T7">
        <f>S7*Constants!$B$2</f>
        <v>23.52</v>
      </c>
      <c r="V7">
        <f t="shared" si="10"/>
        <v>0</v>
      </c>
      <c r="W7">
        <f t="shared" si="11"/>
        <v>0</v>
      </c>
      <c r="AA7" s="8"/>
      <c r="AJ7" s="4"/>
    </row>
    <row r="8" spans="1:40" x14ac:dyDescent="0.25">
      <c r="A8">
        <v>7</v>
      </c>
      <c r="B8">
        <v>7</v>
      </c>
      <c r="C8" t="s">
        <v>54</v>
      </c>
      <c r="D8" s="16" t="s">
        <v>380</v>
      </c>
      <c r="E8" s="16"/>
      <c r="F8">
        <v>25.3</v>
      </c>
      <c r="G8">
        <v>90</v>
      </c>
      <c r="H8">
        <v>3.6</v>
      </c>
      <c r="I8">
        <f>1.2*2*(6.5+3)</f>
        <v>22.8</v>
      </c>
      <c r="L8">
        <f>Constants!$B$2</f>
        <v>2.8</v>
      </c>
      <c r="M8">
        <f t="shared" si="0"/>
        <v>90</v>
      </c>
      <c r="N8">
        <f>P8*Constants!$E$2</f>
        <v>6.12</v>
      </c>
      <c r="P8">
        <f t="shared" si="7"/>
        <v>3.6</v>
      </c>
      <c r="Q8">
        <f>P8*Constants!$B$3</f>
        <v>15.119999999999997</v>
      </c>
      <c r="R8">
        <f t="shared" si="8"/>
        <v>8.9999999999999964</v>
      </c>
      <c r="S8">
        <f t="shared" si="9"/>
        <v>19.2</v>
      </c>
      <c r="T8">
        <f>S8*Constants!$B$2</f>
        <v>53.76</v>
      </c>
      <c r="V8">
        <f t="shared" si="10"/>
        <v>0</v>
      </c>
      <c r="W8">
        <f t="shared" si="11"/>
        <v>0</v>
      </c>
      <c r="AA8" s="8"/>
      <c r="AJ8" s="4"/>
    </row>
    <row r="9" spans="1:40" x14ac:dyDescent="0.25">
      <c r="A9">
        <v>8</v>
      </c>
      <c r="B9">
        <v>7</v>
      </c>
      <c r="C9" t="s">
        <v>57</v>
      </c>
      <c r="D9" s="16" t="s">
        <v>381</v>
      </c>
      <c r="E9" s="16" t="s">
        <v>380</v>
      </c>
      <c r="F9">
        <f>2.7*1.2</f>
        <v>3.24</v>
      </c>
      <c r="G9" t="s">
        <v>44</v>
      </c>
      <c r="H9">
        <v>0</v>
      </c>
      <c r="I9">
        <f>2*1.2*(1+2.5)</f>
        <v>8.4</v>
      </c>
      <c r="L9">
        <f>Constants!$B$2</f>
        <v>2.8</v>
      </c>
      <c r="M9" t="str">
        <f t="shared" si="0"/>
        <v>N/A</v>
      </c>
      <c r="N9">
        <f>P9*Constants!$E$2</f>
        <v>0</v>
      </c>
      <c r="P9">
        <f t="shared" si="7"/>
        <v>0</v>
      </c>
      <c r="Q9">
        <f>P9*Constants!$B$3</f>
        <v>0</v>
      </c>
      <c r="R9">
        <f t="shared" si="8"/>
        <v>0</v>
      </c>
      <c r="S9">
        <f t="shared" si="9"/>
        <v>8.4</v>
      </c>
      <c r="T9">
        <f>S9*Constants!$B$2</f>
        <v>23.52</v>
      </c>
      <c r="V9">
        <f t="shared" si="10"/>
        <v>0</v>
      </c>
      <c r="W9">
        <f t="shared" si="11"/>
        <v>0</v>
      </c>
      <c r="AA9" s="8"/>
      <c r="AJ9" s="4"/>
    </row>
    <row r="10" spans="1:40" x14ac:dyDescent="0.25">
      <c r="A10">
        <v>9</v>
      </c>
      <c r="B10">
        <v>7</v>
      </c>
      <c r="C10" t="s">
        <v>54</v>
      </c>
      <c r="D10" s="16" t="s">
        <v>382</v>
      </c>
      <c r="E10" s="16"/>
      <c r="F10">
        <v>25.3</v>
      </c>
      <c r="G10">
        <v>90</v>
      </c>
      <c r="H10">
        <v>3.6</v>
      </c>
      <c r="I10">
        <f>1.2*2*(6.5+3)</f>
        <v>22.8</v>
      </c>
      <c r="L10">
        <f>Constants!$B$2</f>
        <v>2.8</v>
      </c>
      <c r="M10">
        <f t="shared" si="0"/>
        <v>90</v>
      </c>
      <c r="N10">
        <f>P10*Constants!$E$2</f>
        <v>6.12</v>
      </c>
      <c r="P10">
        <f t="shared" si="7"/>
        <v>3.6</v>
      </c>
      <c r="Q10">
        <f>P10*Constants!$B$3</f>
        <v>15.119999999999997</v>
      </c>
      <c r="R10">
        <f t="shared" si="8"/>
        <v>8.9999999999999964</v>
      </c>
      <c r="S10">
        <f t="shared" si="9"/>
        <v>19.2</v>
      </c>
      <c r="T10">
        <f>S10*Constants!$B$2</f>
        <v>53.76</v>
      </c>
      <c r="V10">
        <f t="shared" si="10"/>
        <v>0</v>
      </c>
      <c r="W10">
        <f t="shared" si="11"/>
        <v>0</v>
      </c>
      <c r="AA10" s="8"/>
      <c r="AJ10" s="4"/>
    </row>
    <row r="11" spans="1:40" x14ac:dyDescent="0.25">
      <c r="A11">
        <v>10</v>
      </c>
      <c r="B11">
        <v>7</v>
      </c>
      <c r="C11" t="s">
        <v>57</v>
      </c>
      <c r="D11" s="16" t="s">
        <v>383</v>
      </c>
      <c r="E11" s="16" t="s">
        <v>382</v>
      </c>
      <c r="F11">
        <f>2.7*1.2</f>
        <v>3.24</v>
      </c>
      <c r="G11" t="s">
        <v>44</v>
      </c>
      <c r="H11">
        <v>0</v>
      </c>
      <c r="I11">
        <f>2*1.2*(1+2.5)</f>
        <v>8.4</v>
      </c>
      <c r="L11">
        <f>Constants!$B$2</f>
        <v>2.8</v>
      </c>
      <c r="M11" t="str">
        <f t="shared" si="0"/>
        <v>N/A</v>
      </c>
      <c r="N11">
        <f>P11*Constants!$E$2</f>
        <v>0</v>
      </c>
      <c r="P11">
        <f t="shared" si="7"/>
        <v>0</v>
      </c>
      <c r="Q11">
        <f>P11*Constants!$B$3</f>
        <v>0</v>
      </c>
      <c r="R11">
        <f t="shared" si="8"/>
        <v>0</v>
      </c>
      <c r="S11">
        <f t="shared" si="9"/>
        <v>8.4</v>
      </c>
      <c r="T11">
        <f>S11*Constants!$B$2</f>
        <v>23.52</v>
      </c>
      <c r="V11">
        <f t="shared" si="10"/>
        <v>0</v>
      </c>
      <c r="W11">
        <f t="shared" si="11"/>
        <v>0</v>
      </c>
      <c r="AA11" s="8"/>
      <c r="AJ11" s="4"/>
    </row>
    <row r="12" spans="1:40" x14ac:dyDescent="0.25">
      <c r="A12">
        <v>11</v>
      </c>
      <c r="B12">
        <v>7</v>
      </c>
      <c r="C12" t="s">
        <v>49</v>
      </c>
      <c r="D12" s="16" t="s">
        <v>384</v>
      </c>
      <c r="E12" s="16"/>
      <c r="F12">
        <v>20.12</v>
      </c>
      <c r="G12">
        <v>90</v>
      </c>
      <c r="H12">
        <v>3.6</v>
      </c>
      <c r="I12">
        <f>2*1.2*(3+5)</f>
        <v>19.2</v>
      </c>
      <c r="L12">
        <f>Constants!$B$2</f>
        <v>2.8</v>
      </c>
      <c r="M12">
        <f t="shared" si="0"/>
        <v>90</v>
      </c>
      <c r="N12">
        <f>P12*Constants!$E$2</f>
        <v>6.12</v>
      </c>
      <c r="P12">
        <f t="shared" si="7"/>
        <v>3.6</v>
      </c>
      <c r="Q12">
        <f>P12*Constants!$B$3</f>
        <v>15.119999999999997</v>
      </c>
      <c r="R12">
        <f t="shared" si="8"/>
        <v>8.9999999999999964</v>
      </c>
      <c r="S12">
        <f t="shared" si="9"/>
        <v>15.6</v>
      </c>
      <c r="T12">
        <f>S12*Constants!$B$2</f>
        <v>43.68</v>
      </c>
      <c r="V12">
        <f t="shared" si="10"/>
        <v>0</v>
      </c>
      <c r="W12">
        <f t="shared" si="11"/>
        <v>0</v>
      </c>
      <c r="AA12" s="8"/>
      <c r="AJ12" s="4"/>
    </row>
    <row r="13" spans="1:40" x14ac:dyDescent="0.25">
      <c r="A13">
        <v>12</v>
      </c>
      <c r="B13">
        <v>7</v>
      </c>
      <c r="C13" t="s">
        <v>49</v>
      </c>
      <c r="D13" s="16" t="s">
        <v>385</v>
      </c>
      <c r="F13">
        <v>11.21</v>
      </c>
      <c r="G13" t="s">
        <v>44</v>
      </c>
      <c r="H13">
        <v>0</v>
      </c>
      <c r="I13">
        <f>2*1.2*(3+3)</f>
        <v>14.399999999999999</v>
      </c>
      <c r="L13">
        <f>Constants!$B$2</f>
        <v>2.8</v>
      </c>
      <c r="M13" t="str">
        <f t="shared" si="0"/>
        <v>N/A</v>
      </c>
      <c r="N13">
        <f>P13*Constants!$E$2</f>
        <v>0</v>
      </c>
      <c r="P13">
        <f t="shared" si="7"/>
        <v>0</v>
      </c>
      <c r="Q13">
        <f>P13*Constants!$B$3</f>
        <v>0</v>
      </c>
      <c r="R13">
        <f t="shared" si="8"/>
        <v>0</v>
      </c>
      <c r="S13">
        <f t="shared" si="9"/>
        <v>14.399999999999999</v>
      </c>
      <c r="T13">
        <f>S13*Constants!$B$2</f>
        <v>40.319999999999993</v>
      </c>
      <c r="V13">
        <f t="shared" si="10"/>
        <v>0</v>
      </c>
      <c r="W13">
        <f t="shared" si="11"/>
        <v>0</v>
      </c>
      <c r="AA13" s="8"/>
      <c r="AJ13" s="4"/>
    </row>
    <row r="14" spans="1:40" x14ac:dyDescent="0.25">
      <c r="A14">
        <v>13</v>
      </c>
      <c r="B14">
        <v>7</v>
      </c>
      <c r="C14" t="s">
        <v>49</v>
      </c>
      <c r="D14" s="16" t="s">
        <v>386</v>
      </c>
      <c r="E14" s="16"/>
      <c r="F14">
        <v>14.06</v>
      </c>
      <c r="G14">
        <v>90</v>
      </c>
      <c r="H14">
        <v>3.6</v>
      </c>
      <c r="I14">
        <f>2*1.2*(3+3.5)</f>
        <v>15.6</v>
      </c>
      <c r="L14">
        <f>Constants!$B$2</f>
        <v>2.8</v>
      </c>
      <c r="M14">
        <f t="shared" ref="M14" si="12">IF(N14&gt;0,G14,"N/A")</f>
        <v>90</v>
      </c>
      <c r="N14">
        <f>P14*Constants!$E$2</f>
        <v>6.12</v>
      </c>
      <c r="P14">
        <f t="shared" ref="P14" si="13">H14</f>
        <v>3.6</v>
      </c>
      <c r="Q14">
        <f>P14*Constants!$B$3</f>
        <v>15.119999999999997</v>
      </c>
      <c r="R14">
        <f t="shared" ref="R14" si="14">IF(Q14-N14&lt;=0, 0, Q14-N14)</f>
        <v>8.9999999999999964</v>
      </c>
      <c r="S14">
        <f t="shared" ref="S14" si="15">I14-P14</f>
        <v>12</v>
      </c>
      <c r="T14">
        <f>S14*Constants!$B$2</f>
        <v>33.599999999999994</v>
      </c>
      <c r="V14">
        <f t="shared" ref="V14" si="16">IF(B14="E",1,0)</f>
        <v>0</v>
      </c>
      <c r="W14">
        <f t="shared" ref="W14" si="17">IF(B14=10,1,0)</f>
        <v>0</v>
      </c>
      <c r="AA14" s="8"/>
      <c r="AJ14" s="4"/>
    </row>
    <row r="15" spans="1:40" x14ac:dyDescent="0.25">
      <c r="A15">
        <v>14</v>
      </c>
      <c r="B15">
        <v>7</v>
      </c>
      <c r="C15" t="s">
        <v>49</v>
      </c>
      <c r="D15" s="16" t="s">
        <v>387</v>
      </c>
      <c r="E15" s="16"/>
      <c r="F15">
        <v>14.08</v>
      </c>
      <c r="G15">
        <v>90</v>
      </c>
      <c r="H15">
        <v>3.6</v>
      </c>
      <c r="I15">
        <f>2*1.2*(3+3.5)</f>
        <v>15.6</v>
      </c>
      <c r="L15">
        <f>Constants!$B$2</f>
        <v>2.8</v>
      </c>
      <c r="M15">
        <f t="shared" si="0"/>
        <v>90</v>
      </c>
      <c r="N15">
        <f>P15*Constants!$E$2</f>
        <v>6.12</v>
      </c>
      <c r="P15">
        <f t="shared" si="7"/>
        <v>3.6</v>
      </c>
      <c r="Q15">
        <f>P15*Constants!$B$3</f>
        <v>15.119999999999997</v>
      </c>
      <c r="R15">
        <f t="shared" si="8"/>
        <v>8.9999999999999964</v>
      </c>
      <c r="S15">
        <f t="shared" si="9"/>
        <v>12</v>
      </c>
      <c r="T15">
        <f>S15*Constants!$B$2</f>
        <v>33.599999999999994</v>
      </c>
      <c r="V15">
        <f t="shared" si="10"/>
        <v>0</v>
      </c>
      <c r="W15">
        <f t="shared" si="11"/>
        <v>0</v>
      </c>
      <c r="AA15" s="8"/>
      <c r="AJ15" s="4"/>
    </row>
    <row r="16" spans="1:40" x14ac:dyDescent="0.25">
      <c r="A16">
        <v>15</v>
      </c>
      <c r="B16">
        <v>7</v>
      </c>
      <c r="C16" t="s">
        <v>54</v>
      </c>
      <c r="D16" s="16" t="s">
        <v>388</v>
      </c>
      <c r="E16" s="16"/>
      <c r="F16">
        <v>12.16</v>
      </c>
      <c r="G16" t="s">
        <v>44</v>
      </c>
      <c r="H16">
        <v>0</v>
      </c>
      <c r="I16">
        <f>2*1.2*(2+4)</f>
        <v>14.399999999999999</v>
      </c>
      <c r="L16">
        <f>Constants!$B$2</f>
        <v>2.8</v>
      </c>
      <c r="M16" t="str">
        <f t="shared" si="0"/>
        <v>N/A</v>
      </c>
      <c r="N16">
        <f>P16*Constants!$E$2</f>
        <v>0</v>
      </c>
      <c r="P16">
        <f t="shared" si="7"/>
        <v>0</v>
      </c>
      <c r="Q16">
        <f>P16*Constants!$B$3</f>
        <v>0</v>
      </c>
      <c r="R16">
        <f t="shared" si="8"/>
        <v>0</v>
      </c>
      <c r="S16">
        <f t="shared" si="9"/>
        <v>14.399999999999999</v>
      </c>
      <c r="T16">
        <f>S16*Constants!$B$2</f>
        <v>40.319999999999993</v>
      </c>
      <c r="V16">
        <f t="shared" si="10"/>
        <v>0</v>
      </c>
      <c r="W16">
        <f t="shared" si="11"/>
        <v>0</v>
      </c>
      <c r="AA16" s="8"/>
      <c r="AJ16" s="4"/>
    </row>
    <row r="17" spans="1:36" x14ac:dyDescent="0.25">
      <c r="A17">
        <v>16</v>
      </c>
      <c r="B17">
        <v>7</v>
      </c>
      <c r="C17" t="s">
        <v>64</v>
      </c>
      <c r="D17" s="16" t="s">
        <v>389</v>
      </c>
      <c r="F17">
        <v>1.94</v>
      </c>
      <c r="G17" t="s">
        <v>44</v>
      </c>
      <c r="H17">
        <v>0</v>
      </c>
      <c r="I17">
        <f>2*1.2*(1.5+1)</f>
        <v>6</v>
      </c>
      <c r="L17">
        <f>Constants!$B$2</f>
        <v>2.8</v>
      </c>
      <c r="M17" t="str">
        <f t="shared" si="0"/>
        <v>N/A</v>
      </c>
      <c r="N17">
        <f>P17*Constants!$E$2</f>
        <v>0</v>
      </c>
      <c r="P17">
        <f t="shared" si="7"/>
        <v>0</v>
      </c>
      <c r="Q17">
        <f>P17*Constants!$B$3</f>
        <v>0</v>
      </c>
      <c r="R17">
        <f t="shared" si="8"/>
        <v>0</v>
      </c>
      <c r="S17">
        <f t="shared" si="9"/>
        <v>6</v>
      </c>
      <c r="T17">
        <f>S17*Constants!$B$2</f>
        <v>16.799999999999997</v>
      </c>
      <c r="V17">
        <f t="shared" si="10"/>
        <v>0</v>
      </c>
      <c r="W17">
        <f t="shared" si="11"/>
        <v>0</v>
      </c>
      <c r="AA17" s="8"/>
      <c r="AJ17" s="4"/>
    </row>
    <row r="18" spans="1:36" x14ac:dyDescent="0.25">
      <c r="A18">
        <v>17</v>
      </c>
      <c r="B18">
        <v>7</v>
      </c>
      <c r="C18" t="s">
        <v>64</v>
      </c>
      <c r="D18" s="16" t="s">
        <v>390</v>
      </c>
      <c r="F18">
        <v>1.94</v>
      </c>
      <c r="G18" t="s">
        <v>44</v>
      </c>
      <c r="H18">
        <v>0</v>
      </c>
      <c r="I18">
        <f>2*1.2*(1.5+1)</f>
        <v>6</v>
      </c>
      <c r="L18">
        <f>Constants!$B$2</f>
        <v>2.8</v>
      </c>
      <c r="M18" t="str">
        <f t="shared" si="0"/>
        <v>N/A</v>
      </c>
      <c r="N18">
        <f>P18*Constants!$E$2</f>
        <v>0</v>
      </c>
      <c r="P18">
        <f t="shared" si="7"/>
        <v>0</v>
      </c>
      <c r="Q18">
        <f>P18*Constants!$B$3</f>
        <v>0</v>
      </c>
      <c r="R18">
        <f t="shared" si="8"/>
        <v>0</v>
      </c>
      <c r="S18">
        <f t="shared" si="9"/>
        <v>6</v>
      </c>
      <c r="T18">
        <f>S18*Constants!$B$2</f>
        <v>16.799999999999997</v>
      </c>
      <c r="V18">
        <f t="shared" si="10"/>
        <v>0</v>
      </c>
      <c r="W18">
        <f t="shared" si="11"/>
        <v>0</v>
      </c>
      <c r="AA18" s="8"/>
      <c r="AJ18" s="4"/>
    </row>
    <row r="19" spans="1:36" x14ac:dyDescent="0.25">
      <c r="A19">
        <v>18</v>
      </c>
      <c r="B19">
        <v>7</v>
      </c>
      <c r="C19" t="s">
        <v>49</v>
      </c>
      <c r="D19" s="16" t="s">
        <v>391</v>
      </c>
      <c r="F19">
        <v>20.27</v>
      </c>
      <c r="G19">
        <v>90</v>
      </c>
      <c r="H19">
        <v>3.6</v>
      </c>
      <c r="I19">
        <f>2*1.2*(3+5)</f>
        <v>19.2</v>
      </c>
      <c r="L19">
        <f>Constants!$B$2</f>
        <v>2.8</v>
      </c>
      <c r="M19">
        <f t="shared" si="0"/>
        <v>90</v>
      </c>
      <c r="N19">
        <f>P19*Constants!$E$2</f>
        <v>6.12</v>
      </c>
      <c r="P19">
        <f t="shared" si="7"/>
        <v>3.6</v>
      </c>
      <c r="Q19">
        <f>P19*Constants!$B$3</f>
        <v>15.119999999999997</v>
      </c>
      <c r="R19">
        <f t="shared" si="8"/>
        <v>8.9999999999999964</v>
      </c>
      <c r="S19">
        <f t="shared" si="9"/>
        <v>15.6</v>
      </c>
      <c r="T19">
        <f>S19*Constants!$B$2</f>
        <v>43.68</v>
      </c>
      <c r="V19">
        <f t="shared" si="10"/>
        <v>0</v>
      </c>
      <c r="W19">
        <f t="shared" si="11"/>
        <v>0</v>
      </c>
      <c r="AA19" s="8"/>
      <c r="AJ19" s="4"/>
    </row>
    <row r="20" spans="1:36" x14ac:dyDescent="0.25">
      <c r="A20">
        <v>19</v>
      </c>
      <c r="B20">
        <v>7</v>
      </c>
      <c r="C20" t="s">
        <v>50</v>
      </c>
      <c r="D20" s="16" t="s">
        <v>392</v>
      </c>
      <c r="F20">
        <v>5.83</v>
      </c>
      <c r="G20" t="s">
        <v>44</v>
      </c>
      <c r="H20">
        <v>0</v>
      </c>
      <c r="I20">
        <f>2*1.2*(1.5+3)</f>
        <v>10.799999999999999</v>
      </c>
      <c r="L20">
        <f>Constants!$B$2</f>
        <v>2.8</v>
      </c>
      <c r="M20" t="str">
        <f t="shared" ref="M20:M25" si="18">IF(N20&gt;0,G20,"N/A")</f>
        <v>N/A</v>
      </c>
      <c r="N20">
        <f>P20*Constants!$E$2</f>
        <v>0</v>
      </c>
      <c r="P20">
        <f t="shared" ref="P20:P25" si="19">H20</f>
        <v>0</v>
      </c>
      <c r="Q20">
        <f>P20*Constants!$B$3</f>
        <v>0</v>
      </c>
      <c r="R20">
        <f t="shared" ref="R20:R25" si="20">IF(Q20-N20&lt;=0, 0, Q20-N20)</f>
        <v>0</v>
      </c>
      <c r="S20">
        <f t="shared" ref="S20:S25" si="21">I20-P20</f>
        <v>10.799999999999999</v>
      </c>
      <c r="T20">
        <f>S20*Constants!$B$2</f>
        <v>30.239999999999995</v>
      </c>
      <c r="V20">
        <f t="shared" ref="V20:V25" si="22">IF(B20="E",1,0)</f>
        <v>0</v>
      </c>
      <c r="W20">
        <f t="shared" ref="W20:W25" si="23">IF(B20=10,1,0)</f>
        <v>0</v>
      </c>
      <c r="AA20" s="8"/>
      <c r="AJ20" s="4"/>
    </row>
    <row r="21" spans="1:36" x14ac:dyDescent="0.25">
      <c r="A21">
        <v>20</v>
      </c>
      <c r="B21">
        <v>7</v>
      </c>
      <c r="C21" t="s">
        <v>49</v>
      </c>
      <c r="D21" s="16" t="s">
        <v>393</v>
      </c>
      <c r="F21">
        <v>9.9700000000000006</v>
      </c>
      <c r="G21" t="s">
        <v>44</v>
      </c>
      <c r="H21">
        <v>0</v>
      </c>
      <c r="I21">
        <f>2*1.2*(2.5+3)</f>
        <v>13.2</v>
      </c>
      <c r="L21">
        <f>Constants!$B$2</f>
        <v>2.8</v>
      </c>
      <c r="M21" t="str">
        <f t="shared" si="18"/>
        <v>N/A</v>
      </c>
      <c r="N21">
        <f>P21*Constants!$E$2</f>
        <v>0</v>
      </c>
      <c r="P21">
        <f t="shared" si="19"/>
        <v>0</v>
      </c>
      <c r="Q21">
        <f>P21*Constants!$B$3</f>
        <v>0</v>
      </c>
      <c r="R21">
        <f t="shared" si="20"/>
        <v>0</v>
      </c>
      <c r="S21">
        <f t="shared" si="21"/>
        <v>13.2</v>
      </c>
      <c r="T21">
        <f>S21*Constants!$B$2</f>
        <v>36.959999999999994</v>
      </c>
      <c r="V21">
        <f t="shared" si="22"/>
        <v>0</v>
      </c>
      <c r="W21">
        <f t="shared" si="23"/>
        <v>0</v>
      </c>
      <c r="AA21" s="8"/>
      <c r="AJ21" s="4"/>
    </row>
    <row r="22" spans="1:36" x14ac:dyDescent="0.25">
      <c r="A22">
        <v>21</v>
      </c>
      <c r="B22">
        <v>7</v>
      </c>
      <c r="C22" t="s">
        <v>55</v>
      </c>
      <c r="D22" s="16" t="s">
        <v>394</v>
      </c>
      <c r="F22">
        <v>9.83</v>
      </c>
      <c r="G22" t="s">
        <v>44</v>
      </c>
      <c r="H22">
        <v>0</v>
      </c>
      <c r="I22">
        <f>2*1.2*(2.5+3)</f>
        <v>13.2</v>
      </c>
      <c r="L22">
        <f>Constants!$B$2</f>
        <v>2.8</v>
      </c>
      <c r="M22" t="str">
        <f t="shared" si="18"/>
        <v>N/A</v>
      </c>
      <c r="N22">
        <f>P22*Constants!$E$2</f>
        <v>0</v>
      </c>
      <c r="P22">
        <f t="shared" si="19"/>
        <v>0</v>
      </c>
      <c r="Q22">
        <f>P22*Constants!$B$3</f>
        <v>0</v>
      </c>
      <c r="R22">
        <f t="shared" si="20"/>
        <v>0</v>
      </c>
      <c r="S22">
        <f t="shared" si="21"/>
        <v>13.2</v>
      </c>
      <c r="T22">
        <f>S22*Constants!$B$2</f>
        <v>36.959999999999994</v>
      </c>
      <c r="V22">
        <f t="shared" si="22"/>
        <v>0</v>
      </c>
      <c r="W22">
        <f t="shared" si="23"/>
        <v>0</v>
      </c>
      <c r="AA22" s="8"/>
      <c r="AJ22" s="4"/>
    </row>
    <row r="23" spans="1:36" x14ac:dyDescent="0.25">
      <c r="A23">
        <v>22</v>
      </c>
      <c r="B23">
        <v>7</v>
      </c>
      <c r="C23" t="s">
        <v>55</v>
      </c>
      <c r="D23" s="16" t="s">
        <v>395</v>
      </c>
      <c r="F23">
        <v>3.17</v>
      </c>
      <c r="G23" t="s">
        <v>44</v>
      </c>
      <c r="H23">
        <v>0</v>
      </c>
      <c r="I23">
        <f>2*1.2*(1.3+2)</f>
        <v>7.919999999999999</v>
      </c>
      <c r="L23">
        <f>Constants!$B$2</f>
        <v>2.8</v>
      </c>
      <c r="M23" t="str">
        <f t="shared" si="18"/>
        <v>N/A</v>
      </c>
      <c r="N23">
        <f>P23*Constants!$E$2</f>
        <v>0</v>
      </c>
      <c r="P23">
        <f t="shared" si="19"/>
        <v>0</v>
      </c>
      <c r="Q23">
        <f>P23*Constants!$B$3</f>
        <v>0</v>
      </c>
      <c r="R23">
        <f t="shared" si="20"/>
        <v>0</v>
      </c>
      <c r="S23">
        <f t="shared" si="21"/>
        <v>7.919999999999999</v>
      </c>
      <c r="T23">
        <f>S23*Constants!$B$2</f>
        <v>22.175999999999995</v>
      </c>
      <c r="V23">
        <f t="shared" si="22"/>
        <v>0</v>
      </c>
      <c r="W23">
        <f t="shared" si="23"/>
        <v>0</v>
      </c>
      <c r="AA23" s="8"/>
      <c r="AJ23" s="4"/>
    </row>
    <row r="24" spans="1:36" x14ac:dyDescent="0.25">
      <c r="A24">
        <v>23</v>
      </c>
      <c r="B24">
        <v>7</v>
      </c>
      <c r="C24" t="s">
        <v>57</v>
      </c>
      <c r="D24" s="16" t="s">
        <v>396</v>
      </c>
      <c r="F24">
        <v>4.5199999999999996</v>
      </c>
      <c r="G24" t="s">
        <v>44</v>
      </c>
      <c r="H24">
        <v>0</v>
      </c>
      <c r="I24">
        <f>2*1.2*(1.7+2)</f>
        <v>8.8800000000000008</v>
      </c>
      <c r="L24">
        <f>Constants!$B$2</f>
        <v>2.8</v>
      </c>
      <c r="M24" t="str">
        <f t="shared" si="18"/>
        <v>N/A</v>
      </c>
      <c r="N24">
        <f>P24*Constants!$E$2</f>
        <v>0</v>
      </c>
      <c r="P24">
        <f t="shared" si="19"/>
        <v>0</v>
      </c>
      <c r="Q24">
        <f>P24*Constants!$B$3</f>
        <v>0</v>
      </c>
      <c r="R24">
        <f t="shared" si="20"/>
        <v>0</v>
      </c>
      <c r="S24">
        <f t="shared" si="21"/>
        <v>8.8800000000000008</v>
      </c>
      <c r="T24">
        <f>S24*Constants!$B$2</f>
        <v>24.864000000000001</v>
      </c>
      <c r="V24">
        <f t="shared" si="22"/>
        <v>0</v>
      </c>
      <c r="W24">
        <f t="shared" si="23"/>
        <v>0</v>
      </c>
      <c r="AA24" s="8"/>
      <c r="AJ24" s="4"/>
    </row>
    <row r="25" spans="1:36" x14ac:dyDescent="0.25">
      <c r="A25">
        <v>24</v>
      </c>
      <c r="B25">
        <v>7</v>
      </c>
      <c r="C25" t="s">
        <v>54</v>
      </c>
      <c r="D25" s="16" t="s">
        <v>397</v>
      </c>
      <c r="F25">
        <v>15.89</v>
      </c>
      <c r="G25" t="s">
        <v>44</v>
      </c>
      <c r="H25">
        <v>0</v>
      </c>
      <c r="I25">
        <f>2*1.2*(3+4)</f>
        <v>16.8</v>
      </c>
      <c r="L25">
        <f>Constants!$B$2</f>
        <v>2.8</v>
      </c>
      <c r="M25" t="str">
        <f t="shared" si="18"/>
        <v>N/A</v>
      </c>
      <c r="N25">
        <f>P25*Constants!$E$2</f>
        <v>0</v>
      </c>
      <c r="P25">
        <f t="shared" si="19"/>
        <v>0</v>
      </c>
      <c r="Q25">
        <f>P25*Constants!$B$3</f>
        <v>0</v>
      </c>
      <c r="R25">
        <f t="shared" si="20"/>
        <v>0</v>
      </c>
      <c r="S25">
        <f t="shared" si="21"/>
        <v>16.8</v>
      </c>
      <c r="T25">
        <f>S25*Constants!$B$2</f>
        <v>47.04</v>
      </c>
      <c r="V25">
        <f t="shared" si="22"/>
        <v>0</v>
      </c>
      <c r="W25">
        <f t="shared" si="23"/>
        <v>0</v>
      </c>
      <c r="AA25" s="8"/>
      <c r="AJ25" s="4"/>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4"/>
    </row>
    <row r="370" spans="4:4" x14ac:dyDescent="0.25">
      <c r="D370" s="14"/>
    </row>
    <row r="371" spans="4:4" x14ac:dyDescent="0.25">
      <c r="D371" s="13"/>
    </row>
    <row r="372" spans="4:4" x14ac:dyDescent="0.25">
      <c r="D372" s="13"/>
    </row>
    <row r="373" spans="4:4" x14ac:dyDescent="0.25">
      <c r="D373" s="13"/>
    </row>
    <row r="374" spans="4:4" x14ac:dyDescent="0.25">
      <c r="D374" s="13"/>
    </row>
    <row r="375" spans="4:4" x14ac:dyDescent="0.25">
      <c r="D375" s="13"/>
    </row>
    <row r="376" spans="4:4" x14ac:dyDescent="0.25">
      <c r="D376" s="13"/>
    </row>
    <row r="377" spans="4:4" x14ac:dyDescent="0.25">
      <c r="D377" s="13"/>
    </row>
    <row r="378" spans="4:4" x14ac:dyDescent="0.25">
      <c r="D378" s="13"/>
    </row>
  </sheetData>
  <pageMargins left="0.7" right="0.7" top="0.78740157499999996" bottom="0.78740157499999996"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03"/>
  <sheetViews>
    <sheetView zoomScaleNormal="100" workbookViewId="0">
      <pane xSplit="4" ySplit="1" topLeftCell="F2" activePane="bottomRight" state="frozen"/>
      <selection pane="topRight" activeCell="F1" sqref="F1"/>
      <selection pane="bottomLeft" activeCell="A2" sqref="A2"/>
      <selection pane="bottomRight" activeCell="H23" sqref="H23"/>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s="17" t="s">
        <v>62</v>
      </c>
      <c r="D2" s="16" t="s">
        <v>398</v>
      </c>
      <c r="F2">
        <v>72.819999999999993</v>
      </c>
      <c r="G2" t="s">
        <v>44</v>
      </c>
      <c r="H2">
        <v>0</v>
      </c>
      <c r="I2">
        <f>2*1.2*(2.5+24)</f>
        <v>63.599999999999994</v>
      </c>
      <c r="L2">
        <f>Constants!$B$2</f>
        <v>2.8</v>
      </c>
      <c r="M2" t="str">
        <f t="shared" ref="M2:M22" si="0">IF(N2&gt;0,G2,"N/A")</f>
        <v>N/A</v>
      </c>
      <c r="N2">
        <f>P2*Constants!$E$2</f>
        <v>0</v>
      </c>
      <c r="P2">
        <f>H2</f>
        <v>0</v>
      </c>
      <c r="Q2">
        <f>P2*Constants!$B$3</f>
        <v>0</v>
      </c>
      <c r="R2">
        <f>IF(Q2-N2&lt;=0, 0, Q2-N2)</f>
        <v>0</v>
      </c>
      <c r="S2">
        <f>I2-P2</f>
        <v>63.599999999999994</v>
      </c>
      <c r="T2">
        <f>S2*Constants!$B$2</f>
        <v>178.07999999999998</v>
      </c>
      <c r="V2">
        <f>IF(B2="E",1,0)</f>
        <v>0</v>
      </c>
      <c r="W2">
        <f>IF(B2=10,1,0)</f>
        <v>0</v>
      </c>
      <c r="AA2" s="8"/>
      <c r="AJ2" s="4"/>
    </row>
    <row r="3" spans="1:40" x14ac:dyDescent="0.25">
      <c r="A3">
        <v>2</v>
      </c>
      <c r="B3">
        <v>7</v>
      </c>
      <c r="C3" t="s">
        <v>49</v>
      </c>
      <c r="D3" s="16" t="s">
        <v>399</v>
      </c>
      <c r="F3">
        <v>24.68</v>
      </c>
      <c r="G3">
        <v>270</v>
      </c>
      <c r="H3">
        <v>3.6</v>
      </c>
      <c r="I3">
        <f>2*(8+3.6)</f>
        <v>23.2</v>
      </c>
      <c r="L3">
        <f>Constants!$B$2</f>
        <v>2.8</v>
      </c>
      <c r="M3">
        <f t="shared" si="0"/>
        <v>270</v>
      </c>
      <c r="N3">
        <f>P3*Constants!$E$2</f>
        <v>6.12</v>
      </c>
      <c r="P3">
        <f t="shared" ref="P3:P22" si="1">H3</f>
        <v>3.6</v>
      </c>
      <c r="Q3">
        <f>P3*Constants!$B$3</f>
        <v>15.119999999999997</v>
      </c>
      <c r="R3">
        <f t="shared" ref="R3:R22" si="2">IF(Q3-N3&lt;=0, 0, Q3-N3)</f>
        <v>8.9999999999999964</v>
      </c>
      <c r="S3">
        <f t="shared" ref="S3:S22" si="3">I3-P3</f>
        <v>19.599999999999998</v>
      </c>
      <c r="T3">
        <f>S3*Constants!$B$2</f>
        <v>54.879999999999988</v>
      </c>
      <c r="V3">
        <f t="shared" ref="V3:V22" si="4">IF(B3="E",1,0)</f>
        <v>0</v>
      </c>
      <c r="W3">
        <f t="shared" ref="W3:W22" si="5">IF(B3=10,1,0)</f>
        <v>0</v>
      </c>
      <c r="AA3" s="8"/>
      <c r="AJ3" s="4"/>
    </row>
    <row r="4" spans="1:40" x14ac:dyDescent="0.25">
      <c r="A4">
        <v>3</v>
      </c>
      <c r="B4">
        <v>7</v>
      </c>
      <c r="C4" t="s">
        <v>64</v>
      </c>
      <c r="D4" s="16" t="s">
        <v>400</v>
      </c>
      <c r="E4" s="16" t="s">
        <v>399</v>
      </c>
      <c r="F4">
        <f>2.7*1.2</f>
        <v>3.24</v>
      </c>
      <c r="G4" t="s">
        <v>44</v>
      </c>
      <c r="H4">
        <v>0</v>
      </c>
      <c r="I4">
        <f>2*(1.2+2.7)</f>
        <v>7.8000000000000007</v>
      </c>
      <c r="L4">
        <f>Constants!$B$2</f>
        <v>2.8</v>
      </c>
      <c r="M4" t="str">
        <f t="shared" si="0"/>
        <v>N/A</v>
      </c>
      <c r="N4">
        <f>P4*Constants!$E$2</f>
        <v>0</v>
      </c>
      <c r="P4">
        <f t="shared" si="1"/>
        <v>0</v>
      </c>
      <c r="Q4">
        <f>P4*Constants!$B$3</f>
        <v>0</v>
      </c>
      <c r="R4">
        <f t="shared" si="2"/>
        <v>0</v>
      </c>
      <c r="S4">
        <f t="shared" si="3"/>
        <v>7.8000000000000007</v>
      </c>
      <c r="T4">
        <f>S4*Constants!$B$2</f>
        <v>21.84</v>
      </c>
      <c r="V4">
        <f t="shared" si="4"/>
        <v>0</v>
      </c>
      <c r="W4">
        <f t="shared" si="5"/>
        <v>0</v>
      </c>
      <c r="AA4" s="8"/>
      <c r="AJ4" s="4"/>
    </row>
    <row r="5" spans="1:40" x14ac:dyDescent="0.25">
      <c r="A5">
        <v>4</v>
      </c>
      <c r="B5">
        <v>7</v>
      </c>
      <c r="C5" t="s">
        <v>49</v>
      </c>
      <c r="D5" s="16" t="s">
        <v>401</v>
      </c>
      <c r="F5">
        <v>24.68</v>
      </c>
      <c r="G5">
        <v>270</v>
      </c>
      <c r="H5">
        <v>3.6</v>
      </c>
      <c r="I5">
        <f>2*(8+3.6)</f>
        <v>23.2</v>
      </c>
      <c r="L5">
        <f>Constants!$B$2</f>
        <v>2.8</v>
      </c>
      <c r="M5">
        <f t="shared" si="0"/>
        <v>270</v>
      </c>
      <c r="N5">
        <f>P5*Constants!$E$2</f>
        <v>6.12</v>
      </c>
      <c r="P5">
        <f t="shared" si="1"/>
        <v>3.6</v>
      </c>
      <c r="Q5">
        <f>P5*Constants!$B$3</f>
        <v>15.119999999999997</v>
      </c>
      <c r="R5">
        <f t="shared" si="2"/>
        <v>8.9999999999999964</v>
      </c>
      <c r="S5">
        <f t="shared" si="3"/>
        <v>19.599999999999998</v>
      </c>
      <c r="T5">
        <f>S5*Constants!$B$2</f>
        <v>54.879999999999988</v>
      </c>
      <c r="V5">
        <f t="shared" si="4"/>
        <v>0</v>
      </c>
      <c r="W5">
        <f t="shared" si="5"/>
        <v>0</v>
      </c>
      <c r="AA5" s="8"/>
      <c r="AJ5" s="4"/>
    </row>
    <row r="6" spans="1:40" x14ac:dyDescent="0.25">
      <c r="A6">
        <v>5</v>
      </c>
      <c r="B6">
        <v>7</v>
      </c>
      <c r="C6" t="s">
        <v>64</v>
      </c>
      <c r="D6" s="16" t="s">
        <v>402</v>
      </c>
      <c r="E6" s="16" t="s">
        <v>401</v>
      </c>
      <c r="F6">
        <f>2.7*1.2</f>
        <v>3.24</v>
      </c>
      <c r="G6" t="s">
        <v>44</v>
      </c>
      <c r="H6">
        <v>0</v>
      </c>
      <c r="I6">
        <f>2*(1.2+2.7)</f>
        <v>7.8000000000000007</v>
      </c>
      <c r="L6">
        <f>Constants!$B$2</f>
        <v>2.8</v>
      </c>
      <c r="M6" t="str">
        <f t="shared" si="0"/>
        <v>N/A</v>
      </c>
      <c r="N6">
        <f>P6*Constants!$E$2</f>
        <v>0</v>
      </c>
      <c r="P6">
        <f t="shared" si="1"/>
        <v>0</v>
      </c>
      <c r="Q6">
        <f>P6*Constants!$B$3</f>
        <v>0</v>
      </c>
      <c r="R6">
        <f t="shared" si="2"/>
        <v>0</v>
      </c>
      <c r="S6">
        <f t="shared" si="3"/>
        <v>7.8000000000000007</v>
      </c>
      <c r="T6">
        <f>S6*Constants!$B$2</f>
        <v>21.84</v>
      </c>
      <c r="V6">
        <f t="shared" si="4"/>
        <v>0</v>
      </c>
      <c r="W6">
        <f t="shared" si="5"/>
        <v>0</v>
      </c>
      <c r="AA6" s="8"/>
      <c r="AJ6" s="4"/>
    </row>
    <row r="7" spans="1:40" x14ac:dyDescent="0.25">
      <c r="A7">
        <v>6</v>
      </c>
      <c r="B7">
        <v>7</v>
      </c>
      <c r="C7" t="s">
        <v>49</v>
      </c>
      <c r="D7" s="16" t="s">
        <v>403</v>
      </c>
      <c r="F7">
        <v>25.3</v>
      </c>
      <c r="G7">
        <v>270</v>
      </c>
      <c r="H7">
        <v>3.6</v>
      </c>
      <c r="I7">
        <f>2*(8+3.6)</f>
        <v>23.2</v>
      </c>
      <c r="L7">
        <f>Constants!$B$2</f>
        <v>2.8</v>
      </c>
      <c r="M7">
        <f t="shared" si="0"/>
        <v>270</v>
      </c>
      <c r="N7">
        <f>P7*Constants!$E$2</f>
        <v>6.12</v>
      </c>
      <c r="P7">
        <f t="shared" si="1"/>
        <v>3.6</v>
      </c>
      <c r="Q7">
        <f>P7*Constants!$B$3</f>
        <v>15.119999999999997</v>
      </c>
      <c r="R7">
        <f t="shared" si="2"/>
        <v>8.9999999999999964</v>
      </c>
      <c r="S7">
        <f t="shared" si="3"/>
        <v>19.599999999999998</v>
      </c>
      <c r="T7">
        <f>S7*Constants!$B$2</f>
        <v>54.879999999999988</v>
      </c>
      <c r="V7">
        <f t="shared" si="4"/>
        <v>0</v>
      </c>
      <c r="W7">
        <f t="shared" si="5"/>
        <v>0</v>
      </c>
      <c r="AA7" s="8"/>
      <c r="AJ7" s="4"/>
    </row>
    <row r="8" spans="1:40" x14ac:dyDescent="0.25">
      <c r="A8">
        <v>7</v>
      </c>
      <c r="B8">
        <v>7</v>
      </c>
      <c r="C8" t="s">
        <v>64</v>
      </c>
      <c r="D8" s="16" t="s">
        <v>404</v>
      </c>
      <c r="E8" s="16" t="s">
        <v>403</v>
      </c>
      <c r="F8">
        <f>2.7*1.2</f>
        <v>3.24</v>
      </c>
      <c r="G8" t="s">
        <v>44</v>
      </c>
      <c r="H8">
        <v>0</v>
      </c>
      <c r="I8">
        <f>2*(1.2+2.7)</f>
        <v>7.8000000000000007</v>
      </c>
      <c r="L8">
        <f>Constants!$B$2</f>
        <v>2.8</v>
      </c>
      <c r="M8" t="str">
        <f t="shared" si="0"/>
        <v>N/A</v>
      </c>
      <c r="N8">
        <f>P8*Constants!$E$2</f>
        <v>0</v>
      </c>
      <c r="P8">
        <f t="shared" si="1"/>
        <v>0</v>
      </c>
      <c r="Q8">
        <f>P8*Constants!$B$3</f>
        <v>0</v>
      </c>
      <c r="R8">
        <f t="shared" si="2"/>
        <v>0</v>
      </c>
      <c r="S8">
        <f t="shared" si="3"/>
        <v>7.8000000000000007</v>
      </c>
      <c r="T8">
        <f>S8*Constants!$B$2</f>
        <v>21.84</v>
      </c>
      <c r="V8">
        <f t="shared" si="4"/>
        <v>0</v>
      </c>
      <c r="W8">
        <f t="shared" si="5"/>
        <v>0</v>
      </c>
      <c r="AA8" s="8"/>
      <c r="AJ8" s="4"/>
    </row>
    <row r="9" spans="1:40" x14ac:dyDescent="0.25">
      <c r="A9">
        <v>8</v>
      </c>
      <c r="B9">
        <v>7</v>
      </c>
      <c r="C9" t="s">
        <v>49</v>
      </c>
      <c r="D9" s="16" t="s">
        <v>405</v>
      </c>
      <c r="F9">
        <v>24.53</v>
      </c>
      <c r="G9">
        <v>270</v>
      </c>
      <c r="H9">
        <v>3.6</v>
      </c>
      <c r="I9">
        <f>2*(8+3.6)</f>
        <v>23.2</v>
      </c>
      <c r="L9">
        <f>Constants!$B$2</f>
        <v>2.8</v>
      </c>
      <c r="M9">
        <f t="shared" si="0"/>
        <v>270</v>
      </c>
      <c r="N9">
        <f>P9*Constants!$E$2</f>
        <v>6.12</v>
      </c>
      <c r="P9">
        <f t="shared" si="1"/>
        <v>3.6</v>
      </c>
      <c r="Q9">
        <f>P9*Constants!$B$3</f>
        <v>15.119999999999997</v>
      </c>
      <c r="R9">
        <f t="shared" si="2"/>
        <v>8.9999999999999964</v>
      </c>
      <c r="S9">
        <f t="shared" si="3"/>
        <v>19.599999999999998</v>
      </c>
      <c r="T9">
        <f>S9*Constants!$B$2</f>
        <v>54.879999999999988</v>
      </c>
      <c r="V9">
        <f t="shared" si="4"/>
        <v>0</v>
      </c>
      <c r="W9">
        <f t="shared" si="5"/>
        <v>0</v>
      </c>
      <c r="AA9" s="8"/>
      <c r="AJ9" s="4"/>
    </row>
    <row r="10" spans="1:40" x14ac:dyDescent="0.25">
      <c r="A10">
        <v>9</v>
      </c>
      <c r="B10">
        <v>7</v>
      </c>
      <c r="C10" t="s">
        <v>64</v>
      </c>
      <c r="D10" s="16" t="s">
        <v>406</v>
      </c>
      <c r="E10" s="16" t="s">
        <v>405</v>
      </c>
      <c r="F10">
        <f>2.7*1.2</f>
        <v>3.24</v>
      </c>
      <c r="G10" t="s">
        <v>44</v>
      </c>
      <c r="H10">
        <v>0</v>
      </c>
      <c r="I10">
        <f>2*(1.2+2.7)</f>
        <v>7.8000000000000007</v>
      </c>
      <c r="L10">
        <f>Constants!$B$2</f>
        <v>2.8</v>
      </c>
      <c r="M10" t="str">
        <f t="shared" si="0"/>
        <v>N/A</v>
      </c>
      <c r="N10">
        <f>P10*Constants!$E$2</f>
        <v>0</v>
      </c>
      <c r="P10">
        <f t="shared" si="1"/>
        <v>0</v>
      </c>
      <c r="Q10">
        <f>P10*Constants!$B$3</f>
        <v>0</v>
      </c>
      <c r="R10">
        <f t="shared" si="2"/>
        <v>0</v>
      </c>
      <c r="S10">
        <f t="shared" si="3"/>
        <v>7.8000000000000007</v>
      </c>
      <c r="T10">
        <f>S10*Constants!$B$2</f>
        <v>21.84</v>
      </c>
      <c r="V10">
        <f t="shared" si="4"/>
        <v>0</v>
      </c>
      <c r="W10">
        <f t="shared" si="5"/>
        <v>0</v>
      </c>
      <c r="AA10" s="8"/>
      <c r="AJ10" s="4"/>
    </row>
    <row r="11" spans="1:40" x14ac:dyDescent="0.25">
      <c r="A11">
        <v>10</v>
      </c>
      <c r="B11">
        <v>7</v>
      </c>
      <c r="C11" t="s">
        <v>49</v>
      </c>
      <c r="D11" s="16" t="s">
        <v>407</v>
      </c>
      <c r="F11">
        <v>24.53</v>
      </c>
      <c r="G11">
        <v>270</v>
      </c>
      <c r="H11">
        <v>3.6</v>
      </c>
      <c r="I11">
        <f>2*(8+3.6)</f>
        <v>23.2</v>
      </c>
      <c r="L11">
        <f>Constants!$B$2</f>
        <v>2.8</v>
      </c>
      <c r="M11">
        <f t="shared" si="0"/>
        <v>270</v>
      </c>
      <c r="N11">
        <f>P11*Constants!$E$2</f>
        <v>6.12</v>
      </c>
      <c r="P11">
        <f t="shared" si="1"/>
        <v>3.6</v>
      </c>
      <c r="Q11">
        <f>P11*Constants!$B$3</f>
        <v>15.119999999999997</v>
      </c>
      <c r="R11">
        <f t="shared" si="2"/>
        <v>8.9999999999999964</v>
      </c>
      <c r="S11">
        <f t="shared" si="3"/>
        <v>19.599999999999998</v>
      </c>
      <c r="T11">
        <f>S11*Constants!$B$2</f>
        <v>54.879999999999988</v>
      </c>
      <c r="V11">
        <f t="shared" si="4"/>
        <v>0</v>
      </c>
      <c r="W11">
        <f t="shared" si="5"/>
        <v>0</v>
      </c>
      <c r="AA11" s="8"/>
      <c r="AJ11" s="4"/>
    </row>
    <row r="12" spans="1:40" x14ac:dyDescent="0.25">
      <c r="A12">
        <v>11</v>
      </c>
      <c r="B12">
        <v>7</v>
      </c>
      <c r="C12" t="s">
        <v>64</v>
      </c>
      <c r="D12" s="16" t="s">
        <v>408</v>
      </c>
      <c r="E12" s="16" t="s">
        <v>409</v>
      </c>
      <c r="F12">
        <f>2.7*1.2</f>
        <v>3.24</v>
      </c>
      <c r="G12" t="s">
        <v>44</v>
      </c>
      <c r="H12">
        <v>0</v>
      </c>
      <c r="I12">
        <f>2*(1.2+2.7)</f>
        <v>7.8000000000000007</v>
      </c>
      <c r="L12">
        <f>Constants!$B$2</f>
        <v>2.8</v>
      </c>
      <c r="M12" t="str">
        <f t="shared" si="0"/>
        <v>N/A</v>
      </c>
      <c r="N12">
        <f>P12*Constants!$E$2</f>
        <v>0</v>
      </c>
      <c r="P12">
        <f t="shared" si="1"/>
        <v>0</v>
      </c>
      <c r="Q12">
        <f>P12*Constants!$B$3</f>
        <v>0</v>
      </c>
      <c r="R12">
        <f t="shared" si="2"/>
        <v>0</v>
      </c>
      <c r="S12">
        <f t="shared" si="3"/>
        <v>7.8000000000000007</v>
      </c>
      <c r="T12">
        <f>S12*Constants!$B$2</f>
        <v>21.84</v>
      </c>
      <c r="V12">
        <f t="shared" si="4"/>
        <v>0</v>
      </c>
      <c r="W12">
        <f t="shared" si="5"/>
        <v>0</v>
      </c>
      <c r="AA12" s="8"/>
      <c r="AJ12" s="4"/>
    </row>
    <row r="13" spans="1:40" x14ac:dyDescent="0.25">
      <c r="A13">
        <v>12</v>
      </c>
      <c r="B13">
        <v>7</v>
      </c>
      <c r="C13" t="s">
        <v>49</v>
      </c>
      <c r="D13" s="16" t="s">
        <v>410</v>
      </c>
      <c r="F13">
        <v>24.68</v>
      </c>
      <c r="G13">
        <v>270</v>
      </c>
      <c r="H13">
        <v>3.6</v>
      </c>
      <c r="I13">
        <f>2*(8+3.6)</f>
        <v>23.2</v>
      </c>
      <c r="L13">
        <f>Constants!$B$2</f>
        <v>2.8</v>
      </c>
      <c r="M13">
        <f t="shared" si="0"/>
        <v>270</v>
      </c>
      <c r="N13">
        <f>P13*Constants!$E$2</f>
        <v>6.12</v>
      </c>
      <c r="P13">
        <f t="shared" si="1"/>
        <v>3.6</v>
      </c>
      <c r="Q13">
        <f>P13*Constants!$B$3</f>
        <v>15.119999999999997</v>
      </c>
      <c r="R13">
        <f t="shared" si="2"/>
        <v>8.9999999999999964</v>
      </c>
      <c r="S13">
        <f t="shared" si="3"/>
        <v>19.599999999999998</v>
      </c>
      <c r="T13">
        <f>S13*Constants!$B$2</f>
        <v>54.879999999999988</v>
      </c>
      <c r="V13">
        <f t="shared" si="4"/>
        <v>0</v>
      </c>
      <c r="W13">
        <f t="shared" si="5"/>
        <v>0</v>
      </c>
      <c r="AA13" s="8"/>
      <c r="AJ13" s="4"/>
    </row>
    <row r="14" spans="1:40" x14ac:dyDescent="0.25">
      <c r="A14">
        <v>13</v>
      </c>
      <c r="B14">
        <v>7</v>
      </c>
      <c r="C14" t="s">
        <v>64</v>
      </c>
      <c r="D14" s="16" t="s">
        <v>411</v>
      </c>
      <c r="E14" s="16" t="s">
        <v>410</v>
      </c>
      <c r="F14">
        <f>2.7*1.2</f>
        <v>3.24</v>
      </c>
      <c r="G14" t="s">
        <v>44</v>
      </c>
      <c r="H14">
        <v>0</v>
      </c>
      <c r="I14">
        <f>2*(1.2+2.7)</f>
        <v>7.8000000000000007</v>
      </c>
      <c r="L14">
        <f>Constants!$B$2</f>
        <v>2.8</v>
      </c>
      <c r="M14" t="str">
        <f t="shared" si="0"/>
        <v>N/A</v>
      </c>
      <c r="N14">
        <f>P14*Constants!$E$2</f>
        <v>0</v>
      </c>
      <c r="P14">
        <f t="shared" si="1"/>
        <v>0</v>
      </c>
      <c r="Q14">
        <f>P14*Constants!$B$3</f>
        <v>0</v>
      </c>
      <c r="R14">
        <f t="shared" si="2"/>
        <v>0</v>
      </c>
      <c r="S14">
        <f t="shared" si="3"/>
        <v>7.8000000000000007</v>
      </c>
      <c r="T14">
        <f>S14*Constants!$B$2</f>
        <v>21.84</v>
      </c>
      <c r="V14">
        <f t="shared" si="4"/>
        <v>0</v>
      </c>
      <c r="W14">
        <f t="shared" si="5"/>
        <v>0</v>
      </c>
      <c r="AA14" s="8"/>
      <c r="AJ14" s="4"/>
    </row>
    <row r="15" spans="1:40" x14ac:dyDescent="0.25">
      <c r="A15">
        <v>14</v>
      </c>
      <c r="B15">
        <v>7</v>
      </c>
      <c r="C15" t="s">
        <v>49</v>
      </c>
      <c r="D15" s="16" t="s">
        <v>412</v>
      </c>
      <c r="F15">
        <v>24.68</v>
      </c>
      <c r="G15">
        <v>270</v>
      </c>
      <c r="H15">
        <v>3.6</v>
      </c>
      <c r="I15">
        <f>2*(8+3.6)</f>
        <v>23.2</v>
      </c>
      <c r="L15">
        <f>Constants!$B$2</f>
        <v>2.8</v>
      </c>
      <c r="M15">
        <f t="shared" si="0"/>
        <v>270</v>
      </c>
      <c r="N15">
        <f>P15*Constants!$E$2</f>
        <v>6.12</v>
      </c>
      <c r="P15">
        <f t="shared" si="1"/>
        <v>3.6</v>
      </c>
      <c r="Q15">
        <f>P15*Constants!$B$3</f>
        <v>15.119999999999997</v>
      </c>
      <c r="R15">
        <f t="shared" si="2"/>
        <v>8.9999999999999964</v>
      </c>
      <c r="S15">
        <f t="shared" si="3"/>
        <v>19.599999999999998</v>
      </c>
      <c r="T15">
        <f>S15*Constants!$B$2</f>
        <v>54.879999999999988</v>
      </c>
      <c r="V15">
        <f t="shared" si="4"/>
        <v>0</v>
      </c>
      <c r="W15">
        <f t="shared" si="5"/>
        <v>0</v>
      </c>
      <c r="AA15" s="8"/>
      <c r="AJ15" s="4"/>
    </row>
    <row r="16" spans="1:40" x14ac:dyDescent="0.25">
      <c r="A16">
        <v>15</v>
      </c>
      <c r="B16">
        <v>7</v>
      </c>
      <c r="C16" t="s">
        <v>64</v>
      </c>
      <c r="D16" s="16" t="s">
        <v>413</v>
      </c>
      <c r="E16" s="16" t="s">
        <v>412</v>
      </c>
      <c r="F16">
        <f>2.7*1.2</f>
        <v>3.24</v>
      </c>
      <c r="G16" t="s">
        <v>44</v>
      </c>
      <c r="H16">
        <v>0</v>
      </c>
      <c r="I16">
        <f>2*(1.2+2.7)</f>
        <v>7.8000000000000007</v>
      </c>
      <c r="L16">
        <f>Constants!$B$2</f>
        <v>2.8</v>
      </c>
      <c r="M16" t="str">
        <f t="shared" si="0"/>
        <v>N/A</v>
      </c>
      <c r="N16">
        <f>P16*Constants!$E$2</f>
        <v>0</v>
      </c>
      <c r="P16">
        <f t="shared" si="1"/>
        <v>0</v>
      </c>
      <c r="Q16">
        <f>P16*Constants!$B$3</f>
        <v>0</v>
      </c>
      <c r="R16">
        <f t="shared" si="2"/>
        <v>0</v>
      </c>
      <c r="S16">
        <f t="shared" si="3"/>
        <v>7.8000000000000007</v>
      </c>
      <c r="T16">
        <f>S16*Constants!$B$2</f>
        <v>21.84</v>
      </c>
      <c r="V16">
        <f t="shared" si="4"/>
        <v>0</v>
      </c>
      <c r="W16">
        <f t="shared" si="5"/>
        <v>0</v>
      </c>
      <c r="AA16" s="8"/>
      <c r="AJ16" s="4"/>
    </row>
    <row r="17" spans="1:36" x14ac:dyDescent="0.25">
      <c r="A17">
        <v>16</v>
      </c>
      <c r="B17">
        <v>7</v>
      </c>
      <c r="C17" t="s">
        <v>49</v>
      </c>
      <c r="D17" s="16" t="s">
        <v>414</v>
      </c>
      <c r="F17">
        <v>24.68</v>
      </c>
      <c r="G17">
        <v>270</v>
      </c>
      <c r="H17">
        <v>3.6</v>
      </c>
      <c r="I17">
        <f>2*(8+3.6)</f>
        <v>23.2</v>
      </c>
      <c r="L17">
        <f>Constants!$B$2</f>
        <v>2.8</v>
      </c>
      <c r="M17">
        <f t="shared" si="0"/>
        <v>270</v>
      </c>
      <c r="N17">
        <f>P17*Constants!$E$2</f>
        <v>6.12</v>
      </c>
      <c r="P17">
        <f t="shared" si="1"/>
        <v>3.6</v>
      </c>
      <c r="Q17">
        <f>P17*Constants!$B$3</f>
        <v>15.119999999999997</v>
      </c>
      <c r="R17">
        <f t="shared" si="2"/>
        <v>8.9999999999999964</v>
      </c>
      <c r="S17">
        <f t="shared" si="3"/>
        <v>19.599999999999998</v>
      </c>
      <c r="T17">
        <f>S17*Constants!$B$2</f>
        <v>54.879999999999988</v>
      </c>
      <c r="V17">
        <f t="shared" si="4"/>
        <v>0</v>
      </c>
      <c r="W17">
        <f t="shared" si="5"/>
        <v>0</v>
      </c>
      <c r="AA17" s="8"/>
      <c r="AJ17" s="4"/>
    </row>
    <row r="18" spans="1:36" x14ac:dyDescent="0.25">
      <c r="A18">
        <v>17</v>
      </c>
      <c r="B18">
        <v>7</v>
      </c>
      <c r="C18" t="s">
        <v>64</v>
      </c>
      <c r="D18" s="16" t="s">
        <v>420</v>
      </c>
      <c r="E18" s="16" t="s">
        <v>414</v>
      </c>
      <c r="F18">
        <f>2.7*1.2</f>
        <v>3.24</v>
      </c>
      <c r="G18" t="s">
        <v>44</v>
      </c>
      <c r="H18">
        <v>0</v>
      </c>
      <c r="I18">
        <f>2*(1.2+2.7)</f>
        <v>7.8000000000000007</v>
      </c>
      <c r="L18">
        <f>Constants!$B$2</f>
        <v>2.8</v>
      </c>
      <c r="M18" t="str">
        <f t="shared" si="0"/>
        <v>N/A</v>
      </c>
      <c r="N18">
        <f>P18*Constants!$E$2</f>
        <v>0</v>
      </c>
      <c r="P18">
        <f t="shared" si="1"/>
        <v>0</v>
      </c>
      <c r="Q18">
        <f>P18*Constants!$B$3</f>
        <v>0</v>
      </c>
      <c r="R18">
        <f t="shared" si="2"/>
        <v>0</v>
      </c>
      <c r="S18">
        <f t="shared" si="3"/>
        <v>7.8000000000000007</v>
      </c>
      <c r="T18">
        <f>S18*Constants!$B$2</f>
        <v>21.84</v>
      </c>
      <c r="V18">
        <f t="shared" si="4"/>
        <v>0</v>
      </c>
      <c r="W18">
        <f t="shared" si="5"/>
        <v>0</v>
      </c>
      <c r="AA18" s="8"/>
      <c r="AJ18" s="4"/>
    </row>
    <row r="19" spans="1:36" x14ac:dyDescent="0.25">
      <c r="A19">
        <v>18</v>
      </c>
      <c r="B19">
        <v>7</v>
      </c>
      <c r="C19" t="s">
        <v>372</v>
      </c>
      <c r="D19" s="16" t="s">
        <v>415</v>
      </c>
      <c r="F19">
        <v>5.0599999999999996</v>
      </c>
      <c r="G19" t="s">
        <v>44</v>
      </c>
      <c r="H19">
        <v>0</v>
      </c>
      <c r="I19">
        <f>2*1.2*(2+2)</f>
        <v>9.6</v>
      </c>
      <c r="L19">
        <f>Constants!$B$2</f>
        <v>2.8</v>
      </c>
      <c r="M19" t="str">
        <f t="shared" si="0"/>
        <v>N/A</v>
      </c>
      <c r="N19">
        <f>P19*Constants!$E$2</f>
        <v>0</v>
      </c>
      <c r="P19">
        <f t="shared" si="1"/>
        <v>0</v>
      </c>
      <c r="Q19">
        <f>P19*Constants!$B$3</f>
        <v>0</v>
      </c>
      <c r="R19">
        <f t="shared" si="2"/>
        <v>0</v>
      </c>
      <c r="S19">
        <f t="shared" si="3"/>
        <v>9.6</v>
      </c>
      <c r="T19">
        <f>S19*Constants!$B$2</f>
        <v>26.88</v>
      </c>
      <c r="V19">
        <f t="shared" si="4"/>
        <v>0</v>
      </c>
      <c r="W19">
        <f t="shared" si="5"/>
        <v>0</v>
      </c>
      <c r="AA19" s="8"/>
      <c r="AJ19" s="4"/>
    </row>
    <row r="20" spans="1:36" x14ac:dyDescent="0.25">
      <c r="A20">
        <v>19</v>
      </c>
      <c r="B20">
        <v>7</v>
      </c>
      <c r="C20" t="s">
        <v>45</v>
      </c>
      <c r="D20" s="16" t="s">
        <v>416</v>
      </c>
      <c r="E20" s="16"/>
      <c r="F20">
        <v>13.31</v>
      </c>
      <c r="G20" t="s">
        <v>44</v>
      </c>
      <c r="H20">
        <v>0</v>
      </c>
      <c r="I20">
        <f>2*1.2*(5+2)</f>
        <v>16.8</v>
      </c>
      <c r="L20">
        <f>Constants!$B$2</f>
        <v>2.8</v>
      </c>
      <c r="M20" t="str">
        <f t="shared" si="0"/>
        <v>N/A</v>
      </c>
      <c r="N20">
        <f>P20*Constants!$E$2</f>
        <v>0</v>
      </c>
      <c r="P20">
        <f t="shared" si="1"/>
        <v>0</v>
      </c>
      <c r="Q20">
        <f>P20*Constants!$B$3</f>
        <v>0</v>
      </c>
      <c r="R20">
        <f t="shared" si="2"/>
        <v>0</v>
      </c>
      <c r="S20">
        <f t="shared" si="3"/>
        <v>16.8</v>
      </c>
      <c r="T20">
        <f>S20*Constants!$B$2</f>
        <v>47.04</v>
      </c>
      <c r="V20">
        <f t="shared" si="4"/>
        <v>0</v>
      </c>
      <c r="W20">
        <f t="shared" si="5"/>
        <v>0</v>
      </c>
      <c r="AA20" s="8"/>
      <c r="AJ20" s="4"/>
    </row>
    <row r="21" spans="1:36" x14ac:dyDescent="0.25">
      <c r="A21">
        <v>20</v>
      </c>
      <c r="B21">
        <v>7</v>
      </c>
      <c r="C21" t="s">
        <v>372</v>
      </c>
      <c r="D21" s="16" t="s">
        <v>417</v>
      </c>
      <c r="E21" s="16"/>
      <c r="F21">
        <v>13.31</v>
      </c>
      <c r="G21" t="s">
        <v>44</v>
      </c>
      <c r="H21">
        <v>0</v>
      </c>
      <c r="I21">
        <f>2*1.2*(5+2)</f>
        <v>16.8</v>
      </c>
      <c r="L21">
        <f>Constants!$B$2</f>
        <v>2.8</v>
      </c>
      <c r="M21" t="str">
        <f t="shared" si="0"/>
        <v>N/A</v>
      </c>
      <c r="N21">
        <f>P21*Constants!$E$2</f>
        <v>0</v>
      </c>
      <c r="P21">
        <f t="shared" si="1"/>
        <v>0</v>
      </c>
      <c r="Q21">
        <f>P21*Constants!$B$3</f>
        <v>0</v>
      </c>
      <c r="R21">
        <f t="shared" si="2"/>
        <v>0</v>
      </c>
      <c r="S21">
        <f t="shared" si="3"/>
        <v>16.8</v>
      </c>
      <c r="T21">
        <f>S21*Constants!$B$2</f>
        <v>47.04</v>
      </c>
      <c r="V21">
        <f t="shared" si="4"/>
        <v>0</v>
      </c>
      <c r="W21">
        <f t="shared" si="5"/>
        <v>0</v>
      </c>
      <c r="AA21" s="8"/>
      <c r="AJ21" s="4"/>
    </row>
    <row r="22" spans="1:36" x14ac:dyDescent="0.25">
      <c r="A22">
        <v>21</v>
      </c>
      <c r="B22">
        <v>7</v>
      </c>
      <c r="C22" t="s">
        <v>67</v>
      </c>
      <c r="D22" s="16" t="s">
        <v>418</v>
      </c>
      <c r="F22">
        <v>20.18</v>
      </c>
      <c r="G22" t="s">
        <v>44</v>
      </c>
      <c r="H22">
        <v>0</v>
      </c>
      <c r="I22">
        <f>2*1.2*(3+5)</f>
        <v>19.2</v>
      </c>
      <c r="L22">
        <f>Constants!$B$2</f>
        <v>2.8</v>
      </c>
      <c r="M22" t="str">
        <f t="shared" si="0"/>
        <v>N/A</v>
      </c>
      <c r="N22">
        <f>P22*Constants!$E$2</f>
        <v>0</v>
      </c>
      <c r="P22">
        <f t="shared" si="1"/>
        <v>0</v>
      </c>
      <c r="Q22">
        <f>P22*Constants!$B$3</f>
        <v>0</v>
      </c>
      <c r="R22">
        <f t="shared" si="2"/>
        <v>0</v>
      </c>
      <c r="S22">
        <f t="shared" si="3"/>
        <v>19.2</v>
      </c>
      <c r="T22">
        <f>S22*Constants!$B$2</f>
        <v>53.76</v>
      </c>
      <c r="V22">
        <f t="shared" si="4"/>
        <v>0</v>
      </c>
      <c r="W22">
        <f t="shared" si="5"/>
        <v>0</v>
      </c>
      <c r="AA22" s="8"/>
      <c r="AJ22" s="4"/>
    </row>
    <row r="23" spans="1:36" x14ac:dyDescent="0.25">
      <c r="A23">
        <v>22</v>
      </c>
      <c r="B23">
        <v>7</v>
      </c>
      <c r="C23" t="s">
        <v>59</v>
      </c>
      <c r="D23" s="16" t="s">
        <v>419</v>
      </c>
      <c r="E23" s="16"/>
      <c r="F23">
        <v>20.03</v>
      </c>
      <c r="G23" t="s">
        <v>44</v>
      </c>
      <c r="H23">
        <v>0</v>
      </c>
      <c r="I23">
        <f>2*1.2*(3+5)</f>
        <v>19.2</v>
      </c>
      <c r="L23">
        <f>Constants!$B$2</f>
        <v>2.8</v>
      </c>
      <c r="M23" t="str">
        <f t="shared" ref="M23" si="6">IF(N23&gt;0,G23,"N/A")</f>
        <v>N/A</v>
      </c>
      <c r="N23">
        <f>P23*Constants!$E$2</f>
        <v>0</v>
      </c>
      <c r="P23">
        <f t="shared" ref="P23" si="7">H23</f>
        <v>0</v>
      </c>
      <c r="Q23">
        <f>P23*Constants!$B$3</f>
        <v>0</v>
      </c>
      <c r="R23">
        <f t="shared" ref="R23" si="8">IF(Q23-N23&lt;=0, 0, Q23-N23)</f>
        <v>0</v>
      </c>
      <c r="S23">
        <f t="shared" ref="S23" si="9">I23-P23</f>
        <v>19.2</v>
      </c>
      <c r="T23">
        <f>S23*Constants!$B$2</f>
        <v>53.76</v>
      </c>
      <c r="V23">
        <f t="shared" ref="V23" si="10">IF(B23="E",1,0)</f>
        <v>0</v>
      </c>
      <c r="W23">
        <f t="shared" ref="W23" si="11">IF(B23=10,1,0)</f>
        <v>0</v>
      </c>
      <c r="AA23" s="8"/>
      <c r="AJ23" s="4"/>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4"/>
    </row>
    <row r="395" spans="4:4" x14ac:dyDescent="0.25">
      <c r="D395" s="14"/>
    </row>
    <row r="396" spans="4:4" x14ac:dyDescent="0.25">
      <c r="D396" s="13"/>
    </row>
    <row r="397" spans="4:4" x14ac:dyDescent="0.25">
      <c r="D397" s="13"/>
    </row>
    <row r="398" spans="4:4" x14ac:dyDescent="0.25">
      <c r="D398" s="13"/>
    </row>
    <row r="399" spans="4:4" x14ac:dyDescent="0.25">
      <c r="D399" s="13"/>
    </row>
    <row r="400" spans="4:4" x14ac:dyDescent="0.25">
      <c r="D400" s="13"/>
    </row>
    <row r="401" spans="4:4" x14ac:dyDescent="0.25">
      <c r="D401" s="13"/>
    </row>
    <row r="402" spans="4:4" x14ac:dyDescent="0.25">
      <c r="D402" s="13"/>
    </row>
    <row r="403" spans="4:4" x14ac:dyDescent="0.25">
      <c r="D403" s="13"/>
    </row>
  </sheetData>
  <pageMargins left="0.7" right="0.7" top="0.78740157499999996" bottom="0.78740157499999996"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96"/>
  <sheetViews>
    <sheetView zoomScaleNormal="100" workbookViewId="0">
      <pane xSplit="4" ySplit="1" topLeftCell="E2" activePane="bottomRight" state="frozen"/>
      <selection pane="topRight" activeCell="F1" sqref="F1"/>
      <selection pane="bottomLeft" activeCell="A2" sqref="A2"/>
      <selection pane="bottomRight" activeCell="D10" sqref="D10"/>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s="17" t="s">
        <v>62</v>
      </c>
      <c r="D2" s="16" t="s">
        <v>421</v>
      </c>
      <c r="F2">
        <v>120.76</v>
      </c>
      <c r="G2" t="s">
        <v>44</v>
      </c>
      <c r="H2">
        <v>0</v>
      </c>
      <c r="I2">
        <f>2*(28.8+2.3)</f>
        <v>62.2</v>
      </c>
      <c r="L2">
        <f>Constants!$B$2</f>
        <v>2.8</v>
      </c>
      <c r="M2" t="str">
        <f t="shared" ref="M2:M18" si="0">IF(N2&gt;0,G2,"N/A")</f>
        <v>N/A</v>
      </c>
      <c r="N2">
        <f>P2*Constants!$E$2</f>
        <v>0</v>
      </c>
      <c r="P2">
        <f>H2</f>
        <v>0</v>
      </c>
      <c r="Q2">
        <f>P2*Constants!$B$3</f>
        <v>0</v>
      </c>
      <c r="R2">
        <f>IF(Q2-N2&lt;=0, 0, Q2-N2)</f>
        <v>0</v>
      </c>
      <c r="S2">
        <f>I2-P2</f>
        <v>62.2</v>
      </c>
      <c r="T2">
        <f>S2*Constants!$B$2</f>
        <v>174.16</v>
      </c>
      <c r="V2">
        <f>IF(B2="E",1,0)</f>
        <v>0</v>
      </c>
      <c r="W2">
        <f>IF(B2=10,1,0)</f>
        <v>0</v>
      </c>
      <c r="AA2" s="8"/>
      <c r="AJ2" s="4"/>
    </row>
    <row r="3" spans="1:40" x14ac:dyDescent="0.25">
      <c r="A3">
        <v>2</v>
      </c>
      <c r="B3">
        <v>7</v>
      </c>
      <c r="C3" t="s">
        <v>55</v>
      </c>
      <c r="D3" s="16" t="s">
        <v>422</v>
      </c>
      <c r="F3">
        <v>16.670000000000002</v>
      </c>
      <c r="G3" t="s">
        <v>44</v>
      </c>
      <c r="H3">
        <v>0</v>
      </c>
      <c r="I3">
        <f>2*1.2*(2.5+5)</f>
        <v>18</v>
      </c>
      <c r="L3">
        <f>Constants!$B$2</f>
        <v>2.8</v>
      </c>
      <c r="M3" t="str">
        <f t="shared" si="0"/>
        <v>N/A</v>
      </c>
      <c r="N3">
        <f>P3*Constants!$E$2</f>
        <v>0</v>
      </c>
      <c r="P3">
        <f t="shared" ref="P3:P18" si="1">H3</f>
        <v>0</v>
      </c>
      <c r="Q3">
        <f>P3*Constants!$B$3</f>
        <v>0</v>
      </c>
      <c r="R3">
        <f t="shared" ref="R3:R18" si="2">IF(Q3-N3&lt;=0, 0, Q3-N3)</f>
        <v>0</v>
      </c>
      <c r="S3">
        <f t="shared" ref="S3:S18" si="3">I3-P3</f>
        <v>18</v>
      </c>
      <c r="T3">
        <f>S3*Constants!$B$2</f>
        <v>50.4</v>
      </c>
      <c r="V3">
        <f t="shared" ref="V3:V18" si="4">IF(B3="E",1,0)</f>
        <v>0</v>
      </c>
      <c r="W3">
        <f t="shared" ref="W3:W18" si="5">IF(B3=10,1,0)</f>
        <v>0</v>
      </c>
      <c r="AA3" s="8"/>
      <c r="AJ3" s="4"/>
    </row>
    <row r="4" spans="1:40" x14ac:dyDescent="0.25">
      <c r="A4">
        <v>3</v>
      </c>
      <c r="B4">
        <v>7</v>
      </c>
      <c r="C4" t="s">
        <v>54</v>
      </c>
      <c r="D4" s="16" t="s">
        <v>433</v>
      </c>
      <c r="E4" s="16"/>
      <c r="F4">
        <v>16.670000000000002</v>
      </c>
      <c r="G4" t="s">
        <v>44</v>
      </c>
      <c r="H4">
        <v>0</v>
      </c>
      <c r="I4">
        <f>2*1.2*(2.5+5)</f>
        <v>18</v>
      </c>
      <c r="L4">
        <f>Constants!$B$2</f>
        <v>2.8</v>
      </c>
      <c r="M4" t="str">
        <f t="shared" si="0"/>
        <v>N/A</v>
      </c>
      <c r="N4">
        <f>P4*Constants!$E$2</f>
        <v>0</v>
      </c>
      <c r="P4">
        <f t="shared" si="1"/>
        <v>0</v>
      </c>
      <c r="Q4">
        <f>P4*Constants!$B$3</f>
        <v>0</v>
      </c>
      <c r="R4">
        <f t="shared" si="2"/>
        <v>0</v>
      </c>
      <c r="S4">
        <f t="shared" si="3"/>
        <v>18</v>
      </c>
      <c r="T4">
        <f>S4*Constants!$B$2</f>
        <v>50.4</v>
      </c>
      <c r="V4">
        <f t="shared" si="4"/>
        <v>0</v>
      </c>
      <c r="W4">
        <f t="shared" si="5"/>
        <v>0</v>
      </c>
      <c r="AA4" s="8"/>
      <c r="AJ4" s="4"/>
    </row>
    <row r="5" spans="1:40" x14ac:dyDescent="0.25">
      <c r="A5">
        <v>4</v>
      </c>
      <c r="B5">
        <v>7</v>
      </c>
      <c r="C5" t="s">
        <v>54</v>
      </c>
      <c r="D5" s="16" t="s">
        <v>434</v>
      </c>
      <c r="F5">
        <v>16.52</v>
      </c>
      <c r="G5" t="s">
        <v>44</v>
      </c>
      <c r="H5">
        <v>0</v>
      </c>
      <c r="I5">
        <f>2*1.2*(2.5+5)</f>
        <v>18</v>
      </c>
      <c r="L5">
        <f>Constants!$B$2</f>
        <v>2.8</v>
      </c>
      <c r="M5" t="str">
        <f t="shared" si="0"/>
        <v>N/A</v>
      </c>
      <c r="N5">
        <f>P5*Constants!$E$2</f>
        <v>0</v>
      </c>
      <c r="P5">
        <f t="shared" si="1"/>
        <v>0</v>
      </c>
      <c r="Q5">
        <f>P5*Constants!$B$3</f>
        <v>0</v>
      </c>
      <c r="R5">
        <f t="shared" si="2"/>
        <v>0</v>
      </c>
      <c r="S5">
        <f t="shared" si="3"/>
        <v>18</v>
      </c>
      <c r="T5">
        <f>S5*Constants!$B$2</f>
        <v>50.4</v>
      </c>
      <c r="V5">
        <f t="shared" si="4"/>
        <v>0</v>
      </c>
      <c r="W5">
        <f t="shared" si="5"/>
        <v>0</v>
      </c>
      <c r="AA5" s="8"/>
      <c r="AJ5" s="4"/>
    </row>
    <row r="6" spans="1:40" x14ac:dyDescent="0.25">
      <c r="A6">
        <v>5</v>
      </c>
      <c r="B6">
        <v>7</v>
      </c>
      <c r="C6" t="s">
        <v>55</v>
      </c>
      <c r="D6" s="16" t="s">
        <v>409</v>
      </c>
      <c r="E6" s="16"/>
      <c r="F6">
        <v>18.11</v>
      </c>
      <c r="G6" t="s">
        <v>44</v>
      </c>
      <c r="H6">
        <v>0</v>
      </c>
      <c r="I6">
        <f>2*1.2*(3+4.5)</f>
        <v>18</v>
      </c>
      <c r="L6">
        <f>Constants!$B$2</f>
        <v>2.8</v>
      </c>
      <c r="M6" t="str">
        <f t="shared" si="0"/>
        <v>N/A</v>
      </c>
      <c r="N6">
        <f>P6*Constants!$E$2</f>
        <v>0</v>
      </c>
      <c r="P6">
        <f t="shared" si="1"/>
        <v>0</v>
      </c>
      <c r="Q6">
        <f>P6*Constants!$B$3</f>
        <v>0</v>
      </c>
      <c r="R6">
        <f t="shared" si="2"/>
        <v>0</v>
      </c>
      <c r="S6">
        <f t="shared" si="3"/>
        <v>18</v>
      </c>
      <c r="T6">
        <f>S6*Constants!$B$2</f>
        <v>50.4</v>
      </c>
      <c r="V6">
        <f t="shared" si="4"/>
        <v>0</v>
      </c>
      <c r="W6">
        <f t="shared" si="5"/>
        <v>0</v>
      </c>
      <c r="AA6" s="8"/>
      <c r="AJ6" s="4"/>
    </row>
    <row r="7" spans="1:40" x14ac:dyDescent="0.25">
      <c r="A7">
        <v>6</v>
      </c>
      <c r="B7">
        <v>7</v>
      </c>
      <c r="C7" t="s">
        <v>50</v>
      </c>
      <c r="D7" s="16" t="s">
        <v>435</v>
      </c>
      <c r="E7" s="16"/>
      <c r="F7">
        <v>9.83</v>
      </c>
      <c r="G7" t="s">
        <v>44</v>
      </c>
      <c r="H7">
        <v>0</v>
      </c>
      <c r="I7">
        <f>2*1.2*(2.5+3)</f>
        <v>13.2</v>
      </c>
      <c r="L7">
        <f>Constants!$B$2</f>
        <v>2.8</v>
      </c>
      <c r="M7" t="str">
        <f t="shared" si="0"/>
        <v>N/A</v>
      </c>
      <c r="N7">
        <f>P7*Constants!$E$2</f>
        <v>0</v>
      </c>
      <c r="P7">
        <f t="shared" si="1"/>
        <v>0</v>
      </c>
      <c r="Q7">
        <f>P7*Constants!$B$3</f>
        <v>0</v>
      </c>
      <c r="R7">
        <f t="shared" si="2"/>
        <v>0</v>
      </c>
      <c r="S7">
        <f t="shared" si="3"/>
        <v>13.2</v>
      </c>
      <c r="T7">
        <f>S7*Constants!$B$2</f>
        <v>36.959999999999994</v>
      </c>
      <c r="V7">
        <f t="shared" si="4"/>
        <v>0</v>
      </c>
      <c r="W7">
        <f t="shared" si="5"/>
        <v>0</v>
      </c>
      <c r="AA7" s="8"/>
      <c r="AJ7" s="4"/>
    </row>
    <row r="8" spans="1:40" x14ac:dyDescent="0.25">
      <c r="A8">
        <v>7</v>
      </c>
      <c r="B8">
        <v>7</v>
      </c>
      <c r="C8" t="s">
        <v>45</v>
      </c>
      <c r="D8" s="16" t="s">
        <v>829</v>
      </c>
      <c r="E8" s="16"/>
      <c r="F8">
        <v>4.68</v>
      </c>
      <c r="G8" t="s">
        <v>44</v>
      </c>
      <c r="H8">
        <v>0</v>
      </c>
      <c r="I8">
        <f>2*1.2*(1.5+2.5)</f>
        <v>9.6</v>
      </c>
      <c r="L8">
        <f>Constants!$B$2</f>
        <v>2.8</v>
      </c>
      <c r="M8" t="str">
        <f t="shared" si="0"/>
        <v>N/A</v>
      </c>
      <c r="N8">
        <f>P8*Constants!$E$2</f>
        <v>0</v>
      </c>
      <c r="P8">
        <f t="shared" si="1"/>
        <v>0</v>
      </c>
      <c r="Q8">
        <f>P8*Constants!$B$3</f>
        <v>0</v>
      </c>
      <c r="R8">
        <f t="shared" si="2"/>
        <v>0</v>
      </c>
      <c r="S8">
        <f t="shared" si="3"/>
        <v>9.6</v>
      </c>
      <c r="T8">
        <f>S8*Constants!$B$2</f>
        <v>26.88</v>
      </c>
      <c r="V8">
        <f t="shared" si="4"/>
        <v>0</v>
      </c>
      <c r="W8">
        <f t="shared" si="5"/>
        <v>0</v>
      </c>
      <c r="AA8" s="8"/>
      <c r="AJ8" s="4"/>
    </row>
    <row r="9" spans="1:40" x14ac:dyDescent="0.25">
      <c r="A9">
        <v>8</v>
      </c>
      <c r="B9">
        <v>7</v>
      </c>
      <c r="C9" t="s">
        <v>64</v>
      </c>
      <c r="D9" s="16" t="s">
        <v>432</v>
      </c>
      <c r="F9">
        <v>4.68</v>
      </c>
      <c r="G9" t="s">
        <v>44</v>
      </c>
      <c r="H9">
        <v>0</v>
      </c>
      <c r="I9">
        <f>2*1.2*(1.5+2.5)</f>
        <v>9.6</v>
      </c>
      <c r="L9">
        <f>Constants!$B$2</f>
        <v>2.8</v>
      </c>
      <c r="M9" t="str">
        <f t="shared" si="0"/>
        <v>N/A</v>
      </c>
      <c r="N9">
        <f>P9*Constants!$E$2</f>
        <v>0</v>
      </c>
      <c r="P9">
        <f t="shared" si="1"/>
        <v>0</v>
      </c>
      <c r="Q9">
        <f>P9*Constants!$B$3</f>
        <v>0</v>
      </c>
      <c r="R9">
        <f t="shared" si="2"/>
        <v>0</v>
      </c>
      <c r="S9">
        <f t="shared" si="3"/>
        <v>9.6</v>
      </c>
      <c r="T9">
        <f>S9*Constants!$B$2</f>
        <v>26.88</v>
      </c>
      <c r="V9">
        <f t="shared" si="4"/>
        <v>0</v>
      </c>
      <c r="W9">
        <f t="shared" si="5"/>
        <v>0</v>
      </c>
      <c r="AA9" s="8"/>
      <c r="AJ9" s="4"/>
    </row>
    <row r="10" spans="1:40" x14ac:dyDescent="0.25">
      <c r="A10">
        <v>9</v>
      </c>
      <c r="B10">
        <v>7</v>
      </c>
      <c r="C10" t="s">
        <v>67</v>
      </c>
      <c r="D10" s="16" t="s">
        <v>436</v>
      </c>
      <c r="E10" s="16"/>
      <c r="F10">
        <v>20.18</v>
      </c>
      <c r="G10" t="s">
        <v>44</v>
      </c>
      <c r="H10">
        <v>0</v>
      </c>
      <c r="I10">
        <f>2*1.2*(4+4)</f>
        <v>19.2</v>
      </c>
      <c r="L10">
        <f>Constants!$B$2</f>
        <v>2.8</v>
      </c>
      <c r="M10" t="str">
        <f t="shared" si="0"/>
        <v>N/A</v>
      </c>
      <c r="N10">
        <f>P10*Constants!$E$2</f>
        <v>0</v>
      </c>
      <c r="P10">
        <f t="shared" si="1"/>
        <v>0</v>
      </c>
      <c r="Q10">
        <f>P10*Constants!$B$3</f>
        <v>0</v>
      </c>
      <c r="R10">
        <f t="shared" si="2"/>
        <v>0</v>
      </c>
      <c r="S10">
        <f t="shared" si="3"/>
        <v>19.2</v>
      </c>
      <c r="T10">
        <f>S10*Constants!$B$2</f>
        <v>53.76</v>
      </c>
      <c r="V10">
        <f t="shared" si="4"/>
        <v>0</v>
      </c>
      <c r="W10">
        <f t="shared" si="5"/>
        <v>0</v>
      </c>
      <c r="AA10" s="8"/>
      <c r="AJ10" s="4"/>
    </row>
    <row r="11" spans="1:40" x14ac:dyDescent="0.25">
      <c r="A11">
        <v>10</v>
      </c>
      <c r="B11">
        <v>7</v>
      </c>
      <c r="C11" t="s">
        <v>67</v>
      </c>
      <c r="D11" s="16" t="s">
        <v>437</v>
      </c>
      <c r="E11" s="16"/>
      <c r="F11">
        <v>11.54</v>
      </c>
      <c r="G11" t="s">
        <v>44</v>
      </c>
      <c r="H11">
        <v>0</v>
      </c>
      <c r="I11">
        <f>2*1.2*(2.5+3.5)</f>
        <v>14.399999999999999</v>
      </c>
      <c r="L11">
        <f>Constants!$B$2</f>
        <v>2.8</v>
      </c>
      <c r="M11" t="str">
        <f t="shared" si="0"/>
        <v>N/A</v>
      </c>
      <c r="N11">
        <f>P11*Constants!$E$2</f>
        <v>0</v>
      </c>
      <c r="P11">
        <f t="shared" si="1"/>
        <v>0</v>
      </c>
      <c r="Q11">
        <f>P11*Constants!$B$3</f>
        <v>0</v>
      </c>
      <c r="R11">
        <f t="shared" si="2"/>
        <v>0</v>
      </c>
      <c r="S11">
        <f t="shared" si="3"/>
        <v>14.399999999999999</v>
      </c>
      <c r="T11">
        <f>S11*Constants!$B$2</f>
        <v>40.319999999999993</v>
      </c>
      <c r="V11">
        <f t="shared" si="4"/>
        <v>0</v>
      </c>
      <c r="W11">
        <f t="shared" si="5"/>
        <v>0</v>
      </c>
      <c r="AA11" s="8"/>
      <c r="AJ11" s="4"/>
    </row>
    <row r="12" spans="1:40" x14ac:dyDescent="0.25">
      <c r="A12">
        <v>11</v>
      </c>
      <c r="B12">
        <v>7</v>
      </c>
      <c r="C12" t="s">
        <v>54</v>
      </c>
      <c r="D12" s="16" t="s">
        <v>423</v>
      </c>
      <c r="E12" s="16"/>
      <c r="F12">
        <v>11.54</v>
      </c>
      <c r="G12" t="s">
        <v>44</v>
      </c>
      <c r="H12">
        <v>0</v>
      </c>
      <c r="I12">
        <f>2*1.2*(3.5+2.5)</f>
        <v>14.399999999999999</v>
      </c>
      <c r="L12">
        <f>Constants!$B$2</f>
        <v>2.8</v>
      </c>
      <c r="M12" t="str">
        <f t="shared" si="0"/>
        <v>N/A</v>
      </c>
      <c r="N12">
        <f>P12*Constants!$E$2</f>
        <v>0</v>
      </c>
      <c r="P12">
        <f t="shared" si="1"/>
        <v>0</v>
      </c>
      <c r="Q12">
        <f>P12*Constants!$B$3</f>
        <v>0</v>
      </c>
      <c r="R12">
        <f t="shared" si="2"/>
        <v>0</v>
      </c>
      <c r="S12">
        <f t="shared" si="3"/>
        <v>14.399999999999999</v>
      </c>
      <c r="T12">
        <f>S12*Constants!$B$2</f>
        <v>40.319999999999993</v>
      </c>
      <c r="V12">
        <f t="shared" si="4"/>
        <v>0</v>
      </c>
      <c r="W12">
        <f t="shared" si="5"/>
        <v>0</v>
      </c>
      <c r="AA12" s="8"/>
      <c r="AJ12" s="4"/>
    </row>
    <row r="13" spans="1:40" x14ac:dyDescent="0.25">
      <c r="A13">
        <v>12</v>
      </c>
      <c r="B13">
        <v>7</v>
      </c>
      <c r="C13" t="s">
        <v>54</v>
      </c>
      <c r="D13" s="16" t="s">
        <v>424</v>
      </c>
      <c r="F13">
        <v>23.69</v>
      </c>
      <c r="G13" t="s">
        <v>44</v>
      </c>
      <c r="H13">
        <v>0</v>
      </c>
      <c r="I13">
        <f>2*1.2*(4+4.5)</f>
        <v>20.399999999999999</v>
      </c>
      <c r="L13">
        <f>Constants!$B$2</f>
        <v>2.8</v>
      </c>
      <c r="M13" t="str">
        <f t="shared" si="0"/>
        <v>N/A</v>
      </c>
      <c r="N13">
        <f>P13*Constants!$E$2</f>
        <v>0</v>
      </c>
      <c r="P13">
        <f t="shared" si="1"/>
        <v>0</v>
      </c>
      <c r="Q13">
        <f>P13*Constants!$B$3</f>
        <v>0</v>
      </c>
      <c r="R13">
        <f t="shared" si="2"/>
        <v>0</v>
      </c>
      <c r="S13">
        <f t="shared" si="3"/>
        <v>20.399999999999999</v>
      </c>
      <c r="T13">
        <f>S13*Constants!$B$2</f>
        <v>57.11999999999999</v>
      </c>
      <c r="V13">
        <f t="shared" si="4"/>
        <v>0</v>
      </c>
      <c r="W13">
        <f t="shared" si="5"/>
        <v>0</v>
      </c>
      <c r="AA13" s="8"/>
      <c r="AJ13" s="4"/>
    </row>
    <row r="14" spans="1:40" x14ac:dyDescent="0.25">
      <c r="A14">
        <v>13</v>
      </c>
      <c r="B14">
        <v>7</v>
      </c>
      <c r="C14" t="s">
        <v>54</v>
      </c>
      <c r="D14" s="16" t="s">
        <v>425</v>
      </c>
      <c r="E14" s="16"/>
      <c r="F14">
        <v>13.25</v>
      </c>
      <c r="G14" t="s">
        <v>44</v>
      </c>
      <c r="H14">
        <v>0</v>
      </c>
      <c r="I14">
        <f>2*1.2*(2.5+4)</f>
        <v>15.6</v>
      </c>
      <c r="L14">
        <f>Constants!$B$2</f>
        <v>2.8</v>
      </c>
      <c r="M14" t="str">
        <f t="shared" si="0"/>
        <v>N/A</v>
      </c>
      <c r="N14">
        <f>P14*Constants!$E$2</f>
        <v>0</v>
      </c>
      <c r="P14">
        <f t="shared" si="1"/>
        <v>0</v>
      </c>
      <c r="Q14">
        <f>P14*Constants!$B$3</f>
        <v>0</v>
      </c>
      <c r="R14">
        <f t="shared" si="2"/>
        <v>0</v>
      </c>
      <c r="S14">
        <f t="shared" si="3"/>
        <v>15.6</v>
      </c>
      <c r="T14">
        <f>S14*Constants!$B$2</f>
        <v>43.68</v>
      </c>
      <c r="V14">
        <f t="shared" si="4"/>
        <v>0</v>
      </c>
      <c r="W14">
        <f t="shared" si="5"/>
        <v>0</v>
      </c>
      <c r="AA14" s="8"/>
      <c r="AJ14" s="4"/>
    </row>
    <row r="15" spans="1:40" x14ac:dyDescent="0.25">
      <c r="A15">
        <v>14</v>
      </c>
      <c r="B15">
        <v>7</v>
      </c>
      <c r="C15" s="17" t="s">
        <v>54</v>
      </c>
      <c r="D15" s="16" t="s">
        <v>426</v>
      </c>
      <c r="F15">
        <v>10.46</v>
      </c>
      <c r="G15" t="s">
        <v>44</v>
      </c>
      <c r="H15">
        <v>0</v>
      </c>
      <c r="I15">
        <f>2*1.2*(2+4)</f>
        <v>14.399999999999999</v>
      </c>
      <c r="L15">
        <f>Constants!$B$2</f>
        <v>2.8</v>
      </c>
      <c r="M15" t="str">
        <f t="shared" si="0"/>
        <v>N/A</v>
      </c>
      <c r="N15">
        <f>P15*Constants!$E$2</f>
        <v>0</v>
      </c>
      <c r="P15">
        <f t="shared" si="1"/>
        <v>0</v>
      </c>
      <c r="Q15">
        <f>P15*Constants!$B$3</f>
        <v>0</v>
      </c>
      <c r="R15">
        <f t="shared" si="2"/>
        <v>0</v>
      </c>
      <c r="S15">
        <f t="shared" si="3"/>
        <v>14.399999999999999</v>
      </c>
      <c r="T15">
        <f>S15*Constants!$B$2</f>
        <v>40.319999999999993</v>
      </c>
      <c r="V15">
        <f t="shared" si="4"/>
        <v>0</v>
      </c>
      <c r="W15">
        <f t="shared" si="5"/>
        <v>0</v>
      </c>
      <c r="AA15" s="8"/>
      <c r="AJ15" s="4"/>
    </row>
    <row r="16" spans="1:40" x14ac:dyDescent="0.25">
      <c r="A16">
        <v>15</v>
      </c>
      <c r="B16">
        <v>7</v>
      </c>
      <c r="C16" t="s">
        <v>54</v>
      </c>
      <c r="D16" s="16" t="s">
        <v>427</v>
      </c>
      <c r="E16" s="16"/>
      <c r="F16">
        <v>14.96</v>
      </c>
      <c r="G16" t="s">
        <v>44</v>
      </c>
      <c r="H16">
        <v>0</v>
      </c>
      <c r="I16">
        <f>2*1.2*(4.5+2.5)</f>
        <v>16.8</v>
      </c>
      <c r="L16">
        <f>Constants!$B$2</f>
        <v>2.8</v>
      </c>
      <c r="M16" t="str">
        <f t="shared" si="0"/>
        <v>N/A</v>
      </c>
      <c r="N16">
        <f>P16*Constants!$E$2</f>
        <v>0</v>
      </c>
      <c r="P16">
        <f t="shared" si="1"/>
        <v>0</v>
      </c>
      <c r="Q16">
        <f>P16*Constants!$B$3</f>
        <v>0</v>
      </c>
      <c r="R16">
        <f t="shared" si="2"/>
        <v>0</v>
      </c>
      <c r="S16">
        <f t="shared" si="3"/>
        <v>16.8</v>
      </c>
      <c r="T16">
        <f>S16*Constants!$B$2</f>
        <v>47.04</v>
      </c>
      <c r="V16">
        <f t="shared" si="4"/>
        <v>0</v>
      </c>
      <c r="W16">
        <f t="shared" si="5"/>
        <v>0</v>
      </c>
      <c r="AA16" s="8"/>
      <c r="AJ16" s="4"/>
    </row>
    <row r="17" spans="1:36" x14ac:dyDescent="0.25">
      <c r="A17">
        <v>16</v>
      </c>
      <c r="B17">
        <v>7</v>
      </c>
      <c r="C17" t="s">
        <v>67</v>
      </c>
      <c r="D17" s="16" t="s">
        <v>428</v>
      </c>
      <c r="F17">
        <v>14.96</v>
      </c>
      <c r="G17" t="s">
        <v>44</v>
      </c>
      <c r="H17">
        <v>0</v>
      </c>
      <c r="I17">
        <f>2*1.2*(4.5+2.5)</f>
        <v>16.8</v>
      </c>
      <c r="L17">
        <f>Constants!$B$2</f>
        <v>2.8</v>
      </c>
      <c r="M17" t="str">
        <f t="shared" si="0"/>
        <v>N/A</v>
      </c>
      <c r="N17">
        <f>P17*Constants!$E$2</f>
        <v>0</v>
      </c>
      <c r="P17">
        <f t="shared" si="1"/>
        <v>0</v>
      </c>
      <c r="Q17">
        <f>P17*Constants!$B$3</f>
        <v>0</v>
      </c>
      <c r="R17">
        <f t="shared" si="2"/>
        <v>0</v>
      </c>
      <c r="S17">
        <f t="shared" si="3"/>
        <v>16.8</v>
      </c>
      <c r="T17">
        <f>S17*Constants!$B$2</f>
        <v>47.04</v>
      </c>
      <c r="V17">
        <f t="shared" si="4"/>
        <v>0</v>
      </c>
      <c r="W17">
        <f t="shared" si="5"/>
        <v>0</v>
      </c>
      <c r="AA17" s="8"/>
      <c r="AJ17" s="4"/>
    </row>
    <row r="18" spans="1:36" x14ac:dyDescent="0.25">
      <c r="A18">
        <v>17</v>
      </c>
      <c r="B18">
        <v>7</v>
      </c>
      <c r="C18" t="s">
        <v>67</v>
      </c>
      <c r="D18" s="16" t="s">
        <v>429</v>
      </c>
      <c r="E18" s="16"/>
      <c r="F18">
        <v>14.9</v>
      </c>
      <c r="G18" t="s">
        <v>44</v>
      </c>
      <c r="H18">
        <v>0</v>
      </c>
      <c r="I18">
        <f>2*1.2*(4.5+2.5)</f>
        <v>16.8</v>
      </c>
      <c r="L18">
        <f>Constants!$B$2</f>
        <v>2.8</v>
      </c>
      <c r="M18" t="str">
        <f t="shared" si="0"/>
        <v>N/A</v>
      </c>
      <c r="N18">
        <f>P18*Constants!$E$2</f>
        <v>0</v>
      </c>
      <c r="P18">
        <f t="shared" si="1"/>
        <v>0</v>
      </c>
      <c r="Q18">
        <f>P18*Constants!$B$3</f>
        <v>0</v>
      </c>
      <c r="R18">
        <f t="shared" si="2"/>
        <v>0</v>
      </c>
      <c r="S18">
        <f t="shared" si="3"/>
        <v>16.8</v>
      </c>
      <c r="T18">
        <f>S18*Constants!$B$2</f>
        <v>47.04</v>
      </c>
      <c r="V18">
        <f t="shared" si="4"/>
        <v>0</v>
      </c>
      <c r="W18">
        <f t="shared" si="5"/>
        <v>0</v>
      </c>
      <c r="AA18" s="8"/>
      <c r="AJ18" s="4"/>
    </row>
    <row r="19" spans="1:36" x14ac:dyDescent="0.25">
      <c r="A19">
        <v>18</v>
      </c>
      <c r="B19">
        <v>7</v>
      </c>
      <c r="C19" t="s">
        <v>67</v>
      </c>
      <c r="D19" s="16" t="s">
        <v>430</v>
      </c>
      <c r="E19" s="16"/>
      <c r="F19">
        <v>14.9</v>
      </c>
      <c r="G19" t="s">
        <v>44</v>
      </c>
      <c r="H19">
        <v>0</v>
      </c>
      <c r="I19">
        <f>2*1.2*(4.5+2.5)</f>
        <v>16.8</v>
      </c>
      <c r="L19">
        <f>Constants!$B$2</f>
        <v>2.8</v>
      </c>
      <c r="M19" t="str">
        <f t="shared" ref="M19:M20" si="6">IF(N19&gt;0,G19,"N/A")</f>
        <v>N/A</v>
      </c>
      <c r="N19">
        <f>P19*Constants!$E$2</f>
        <v>0</v>
      </c>
      <c r="P19">
        <f t="shared" ref="P19:P20" si="7">H19</f>
        <v>0</v>
      </c>
      <c r="Q19">
        <f>P19*Constants!$B$3</f>
        <v>0</v>
      </c>
      <c r="R19">
        <f t="shared" ref="R19:R20" si="8">IF(Q19-N19&lt;=0, 0, Q19-N19)</f>
        <v>0</v>
      </c>
      <c r="S19">
        <f t="shared" ref="S19:S20" si="9">I19-P19</f>
        <v>16.8</v>
      </c>
      <c r="T19">
        <f>S19*Constants!$B$2</f>
        <v>47.04</v>
      </c>
      <c r="V19">
        <f t="shared" ref="V19:V20" si="10">IF(B19="E",1,0)</f>
        <v>0</v>
      </c>
      <c r="W19">
        <f t="shared" ref="W19:W20" si="11">IF(B19=10,1,0)</f>
        <v>0</v>
      </c>
      <c r="AA19" s="8"/>
      <c r="AJ19" s="4"/>
    </row>
    <row r="20" spans="1:36" x14ac:dyDescent="0.25">
      <c r="A20">
        <v>19</v>
      </c>
      <c r="B20">
        <v>7</v>
      </c>
      <c r="C20" t="s">
        <v>438</v>
      </c>
      <c r="D20" s="16" t="s">
        <v>431</v>
      </c>
      <c r="F20">
        <v>44.75</v>
      </c>
      <c r="G20" t="s">
        <v>44</v>
      </c>
      <c r="H20">
        <v>0</v>
      </c>
      <c r="I20">
        <f>2*1.2*(6.5+5)</f>
        <v>27.599999999999998</v>
      </c>
      <c r="L20">
        <f>Constants!$B$2</f>
        <v>2.8</v>
      </c>
      <c r="M20" t="str">
        <f t="shared" si="6"/>
        <v>N/A</v>
      </c>
      <c r="N20">
        <f>P20*Constants!$E$2</f>
        <v>0</v>
      </c>
      <c r="P20">
        <f t="shared" si="7"/>
        <v>0</v>
      </c>
      <c r="Q20">
        <f>P20*Constants!$B$3</f>
        <v>0</v>
      </c>
      <c r="R20">
        <f t="shared" si="8"/>
        <v>0</v>
      </c>
      <c r="S20">
        <f t="shared" si="9"/>
        <v>27.599999999999998</v>
      </c>
      <c r="T20">
        <f>S20*Constants!$B$2</f>
        <v>77.279999999999987</v>
      </c>
      <c r="V20">
        <f t="shared" si="10"/>
        <v>0</v>
      </c>
      <c r="W20">
        <f t="shared" si="11"/>
        <v>0</v>
      </c>
      <c r="AA20" s="8"/>
      <c r="AJ20" s="4"/>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4"/>
    </row>
    <row r="388" spans="4:4" x14ac:dyDescent="0.25">
      <c r="D388" s="14"/>
    </row>
    <row r="389" spans="4:4" x14ac:dyDescent="0.25">
      <c r="D389" s="13"/>
    </row>
    <row r="390" spans="4:4" x14ac:dyDescent="0.25">
      <c r="D390" s="13"/>
    </row>
    <row r="391" spans="4:4" x14ac:dyDescent="0.25">
      <c r="D391" s="13"/>
    </row>
    <row r="392" spans="4:4" x14ac:dyDescent="0.25">
      <c r="D392" s="13"/>
    </row>
    <row r="393" spans="4:4" x14ac:dyDescent="0.25">
      <c r="D393" s="13"/>
    </row>
    <row r="394" spans="4:4" x14ac:dyDescent="0.25">
      <c r="D394" s="13"/>
    </row>
    <row r="395" spans="4:4" x14ac:dyDescent="0.25">
      <c r="D395" s="13"/>
    </row>
    <row r="396" spans="4:4" x14ac:dyDescent="0.25">
      <c r="D396" s="13"/>
    </row>
  </sheetData>
  <phoneticPr fontId="5" type="noConversion"/>
  <pageMargins left="0.7" right="0.7" top="0.78740157499999996" bottom="0.78740157499999996"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84"/>
  <sheetViews>
    <sheetView zoomScaleNormal="100" workbookViewId="0">
      <pane xSplit="4" ySplit="1" topLeftCell="E2" activePane="bottomRight" state="frozen"/>
      <selection pane="topRight" activeCell="F1" sqref="F1"/>
      <selection pane="bottomLeft" activeCell="A2" sqref="A2"/>
      <selection pane="bottomRight" activeCell="C21" sqref="C21"/>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s="17" t="s">
        <v>62</v>
      </c>
      <c r="D2" s="16" t="s">
        <v>439</v>
      </c>
      <c r="F2">
        <v>117.74</v>
      </c>
      <c r="G2" t="s">
        <v>44</v>
      </c>
      <c r="H2">
        <v>0</v>
      </c>
      <c r="I2">
        <f>2*(28.8+2.3)</f>
        <v>62.2</v>
      </c>
      <c r="L2">
        <f>Constants!$B$2</f>
        <v>2.8</v>
      </c>
      <c r="M2" t="str">
        <f t="shared" ref="M2:M17" si="0">IF(N2&gt;0,G2,"N/A")</f>
        <v>N/A</v>
      </c>
      <c r="N2">
        <f>P2*Constants!$E$2</f>
        <v>0</v>
      </c>
      <c r="P2">
        <f>H2</f>
        <v>0</v>
      </c>
      <c r="Q2">
        <f>P2*Constants!$B$3</f>
        <v>0</v>
      </c>
      <c r="R2">
        <f>IF(Q2-N2&lt;=0, 0, Q2-N2)</f>
        <v>0</v>
      </c>
      <c r="S2">
        <f>I2-P2</f>
        <v>62.2</v>
      </c>
      <c r="T2">
        <f>S2*Constants!$B$2</f>
        <v>174.16</v>
      </c>
      <c r="V2">
        <f>IF(B2="E",1,0)</f>
        <v>0</v>
      </c>
      <c r="W2">
        <f>IF(B2=10,1,0)</f>
        <v>0</v>
      </c>
      <c r="AA2" s="8"/>
      <c r="AJ2" s="4"/>
    </row>
    <row r="3" spans="1:40" x14ac:dyDescent="0.25">
      <c r="A3">
        <v>2</v>
      </c>
      <c r="B3">
        <v>7</v>
      </c>
      <c r="C3" t="s">
        <v>54</v>
      </c>
      <c r="D3" s="16" t="s">
        <v>440</v>
      </c>
      <c r="F3">
        <v>9.83</v>
      </c>
      <c r="G3" t="s">
        <v>44</v>
      </c>
      <c r="H3">
        <v>0</v>
      </c>
      <c r="I3">
        <f>2*1.2*(2.5+3)</f>
        <v>13.2</v>
      </c>
      <c r="L3">
        <f>Constants!$B$2</f>
        <v>2.8</v>
      </c>
      <c r="M3" t="str">
        <f t="shared" si="0"/>
        <v>N/A</v>
      </c>
      <c r="N3">
        <f>P3*Constants!$E$2</f>
        <v>0</v>
      </c>
      <c r="P3">
        <f t="shared" ref="P3:P17" si="1">H3</f>
        <v>0</v>
      </c>
      <c r="Q3">
        <f>P3*Constants!$B$3</f>
        <v>0</v>
      </c>
      <c r="R3">
        <f t="shared" ref="R3:R17" si="2">IF(Q3-N3&lt;=0, 0, Q3-N3)</f>
        <v>0</v>
      </c>
      <c r="S3">
        <f t="shared" ref="S3:S17" si="3">I3-P3</f>
        <v>13.2</v>
      </c>
      <c r="T3">
        <f>S3*Constants!$B$2</f>
        <v>36.959999999999994</v>
      </c>
      <c r="V3">
        <f t="shared" ref="V3:V17" si="4">IF(B3="E",1,0)</f>
        <v>0</v>
      </c>
      <c r="W3">
        <f t="shared" ref="W3:W17" si="5">IF(B3=10,1,0)</f>
        <v>0</v>
      </c>
      <c r="AA3" s="8"/>
      <c r="AJ3" s="4"/>
    </row>
    <row r="4" spans="1:40" x14ac:dyDescent="0.25">
      <c r="A4">
        <v>3</v>
      </c>
      <c r="B4">
        <v>7</v>
      </c>
      <c r="C4" t="s">
        <v>45</v>
      </c>
      <c r="D4" s="16" t="s">
        <v>441</v>
      </c>
      <c r="E4" s="16"/>
      <c r="F4">
        <v>18.100000000000001</v>
      </c>
      <c r="G4" t="s">
        <v>44</v>
      </c>
      <c r="H4">
        <v>0</v>
      </c>
      <c r="I4">
        <f>2*1.2*(3+4.5)</f>
        <v>18</v>
      </c>
      <c r="L4">
        <f>Constants!$B$2</f>
        <v>2.8</v>
      </c>
      <c r="M4" t="str">
        <f t="shared" si="0"/>
        <v>N/A</v>
      </c>
      <c r="N4">
        <f>P4*Constants!$E$2</f>
        <v>0</v>
      </c>
      <c r="P4">
        <f t="shared" si="1"/>
        <v>0</v>
      </c>
      <c r="Q4">
        <f>P4*Constants!$B$3</f>
        <v>0</v>
      </c>
      <c r="R4">
        <f t="shared" si="2"/>
        <v>0</v>
      </c>
      <c r="S4">
        <f t="shared" si="3"/>
        <v>18</v>
      </c>
      <c r="T4">
        <f>S4*Constants!$B$2</f>
        <v>50.4</v>
      </c>
      <c r="V4">
        <f t="shared" si="4"/>
        <v>0</v>
      </c>
      <c r="W4">
        <f t="shared" si="5"/>
        <v>0</v>
      </c>
      <c r="AA4" s="8"/>
      <c r="AJ4" s="4"/>
    </row>
    <row r="5" spans="1:40" x14ac:dyDescent="0.25">
      <c r="A5">
        <v>4</v>
      </c>
      <c r="B5">
        <v>7</v>
      </c>
      <c r="C5" t="s">
        <v>50</v>
      </c>
      <c r="D5" s="16" t="s">
        <v>442</v>
      </c>
      <c r="F5">
        <v>9.83</v>
      </c>
      <c r="G5" t="s">
        <v>44</v>
      </c>
      <c r="H5">
        <v>0</v>
      </c>
      <c r="I5">
        <f>2*1.2*(2.5+3)</f>
        <v>13.2</v>
      </c>
      <c r="L5">
        <f>Constants!$B$2</f>
        <v>2.8</v>
      </c>
      <c r="M5" t="str">
        <f t="shared" si="0"/>
        <v>N/A</v>
      </c>
      <c r="N5">
        <f>P5*Constants!$E$2</f>
        <v>0</v>
      </c>
      <c r="P5">
        <f t="shared" si="1"/>
        <v>0</v>
      </c>
      <c r="Q5">
        <f>P5*Constants!$B$3</f>
        <v>0</v>
      </c>
      <c r="R5">
        <f t="shared" si="2"/>
        <v>0</v>
      </c>
      <c r="S5">
        <f t="shared" si="3"/>
        <v>13.2</v>
      </c>
      <c r="T5">
        <f>S5*Constants!$B$2</f>
        <v>36.959999999999994</v>
      </c>
      <c r="V5">
        <f t="shared" si="4"/>
        <v>0</v>
      </c>
      <c r="W5">
        <f t="shared" si="5"/>
        <v>0</v>
      </c>
      <c r="AA5" s="8"/>
      <c r="AJ5" s="4"/>
    </row>
    <row r="6" spans="1:40" x14ac:dyDescent="0.25">
      <c r="A6">
        <v>5</v>
      </c>
      <c r="B6">
        <v>7</v>
      </c>
      <c r="C6" t="s">
        <v>54</v>
      </c>
      <c r="D6" s="16" t="s">
        <v>443</v>
      </c>
      <c r="E6" s="16"/>
      <c r="F6">
        <v>20.18</v>
      </c>
      <c r="G6" t="s">
        <v>44</v>
      </c>
      <c r="H6">
        <v>0</v>
      </c>
      <c r="I6">
        <f>2*1.2*(3+5)</f>
        <v>19.2</v>
      </c>
      <c r="L6">
        <f>Constants!$B$2</f>
        <v>2.8</v>
      </c>
      <c r="M6" t="str">
        <f t="shared" si="0"/>
        <v>N/A</v>
      </c>
      <c r="N6">
        <f>P6*Constants!$E$2</f>
        <v>0</v>
      </c>
      <c r="P6">
        <f t="shared" si="1"/>
        <v>0</v>
      </c>
      <c r="Q6">
        <f>P6*Constants!$B$3</f>
        <v>0</v>
      </c>
      <c r="R6">
        <f t="shared" si="2"/>
        <v>0</v>
      </c>
      <c r="S6">
        <f t="shared" si="3"/>
        <v>19.2</v>
      </c>
      <c r="T6">
        <f>S6*Constants!$B$2</f>
        <v>53.76</v>
      </c>
      <c r="V6">
        <f t="shared" si="4"/>
        <v>0</v>
      </c>
      <c r="W6">
        <f t="shared" si="5"/>
        <v>0</v>
      </c>
      <c r="AA6" s="8"/>
      <c r="AJ6" s="4"/>
    </row>
    <row r="7" spans="1:40" x14ac:dyDescent="0.25">
      <c r="A7">
        <v>6</v>
      </c>
      <c r="B7">
        <v>7</v>
      </c>
      <c r="C7" t="s">
        <v>67</v>
      </c>
      <c r="D7" s="16" t="s">
        <v>444</v>
      </c>
      <c r="E7" s="16"/>
      <c r="F7">
        <v>11.54</v>
      </c>
      <c r="G7" t="s">
        <v>44</v>
      </c>
      <c r="H7">
        <v>0</v>
      </c>
      <c r="I7">
        <f>2*1.2*(2.5+3.5)</f>
        <v>14.399999999999999</v>
      </c>
      <c r="L7">
        <f>Constants!$B$2</f>
        <v>2.8</v>
      </c>
      <c r="M7" t="str">
        <f t="shared" si="0"/>
        <v>N/A</v>
      </c>
      <c r="N7">
        <f>P7*Constants!$E$2</f>
        <v>0</v>
      </c>
      <c r="P7">
        <f t="shared" si="1"/>
        <v>0</v>
      </c>
      <c r="Q7">
        <f>P7*Constants!$B$3</f>
        <v>0</v>
      </c>
      <c r="R7">
        <f t="shared" si="2"/>
        <v>0</v>
      </c>
      <c r="S7">
        <f t="shared" si="3"/>
        <v>14.399999999999999</v>
      </c>
      <c r="T7">
        <f>S7*Constants!$B$2</f>
        <v>40.319999999999993</v>
      </c>
      <c r="V7">
        <f t="shared" si="4"/>
        <v>0</v>
      </c>
      <c r="W7">
        <f t="shared" si="5"/>
        <v>0</v>
      </c>
      <c r="AA7" s="8"/>
      <c r="AJ7" s="4"/>
    </row>
    <row r="8" spans="1:40" x14ac:dyDescent="0.25">
      <c r="A8">
        <v>7</v>
      </c>
      <c r="B8">
        <v>7</v>
      </c>
      <c r="C8" t="s">
        <v>67</v>
      </c>
      <c r="D8" s="16" t="s">
        <v>445</v>
      </c>
      <c r="E8" s="16"/>
      <c r="F8">
        <v>11.54</v>
      </c>
      <c r="G8" t="s">
        <v>44</v>
      </c>
      <c r="H8">
        <v>0</v>
      </c>
      <c r="I8">
        <f>2*1.2*(2.5+3.5)</f>
        <v>14.399999999999999</v>
      </c>
      <c r="L8">
        <f>Constants!$B$2</f>
        <v>2.8</v>
      </c>
      <c r="M8" t="str">
        <f t="shared" si="0"/>
        <v>N/A</v>
      </c>
      <c r="N8">
        <f>P8*Constants!$E$2</f>
        <v>0</v>
      </c>
      <c r="P8">
        <f t="shared" si="1"/>
        <v>0</v>
      </c>
      <c r="Q8">
        <f>P8*Constants!$B$3</f>
        <v>0</v>
      </c>
      <c r="R8">
        <f t="shared" si="2"/>
        <v>0</v>
      </c>
      <c r="S8">
        <f t="shared" si="3"/>
        <v>14.399999999999999</v>
      </c>
      <c r="T8">
        <f>S8*Constants!$B$2</f>
        <v>40.319999999999993</v>
      </c>
      <c r="V8">
        <f t="shared" si="4"/>
        <v>0</v>
      </c>
      <c r="W8">
        <f t="shared" si="5"/>
        <v>0</v>
      </c>
      <c r="AA8" s="8"/>
      <c r="AJ8" s="4"/>
    </row>
    <row r="9" spans="1:40" x14ac:dyDescent="0.25">
      <c r="A9">
        <v>8</v>
      </c>
      <c r="B9">
        <v>7</v>
      </c>
      <c r="C9" t="s">
        <v>54</v>
      </c>
      <c r="D9" s="16" t="s">
        <v>446</v>
      </c>
      <c r="F9">
        <v>29.15</v>
      </c>
      <c r="G9" t="s">
        <v>44</v>
      </c>
      <c r="H9">
        <v>0</v>
      </c>
      <c r="I9">
        <f>2*1.2*(3.5+5.5)</f>
        <v>21.599999999999998</v>
      </c>
      <c r="L9">
        <f>Constants!$B$2</f>
        <v>2.8</v>
      </c>
      <c r="M9" t="str">
        <f t="shared" si="0"/>
        <v>N/A</v>
      </c>
      <c r="N9">
        <f>P9*Constants!$E$2</f>
        <v>0</v>
      </c>
      <c r="P9">
        <f t="shared" si="1"/>
        <v>0</v>
      </c>
      <c r="Q9">
        <f>P9*Constants!$B$3</f>
        <v>0</v>
      </c>
      <c r="R9">
        <f t="shared" si="2"/>
        <v>0</v>
      </c>
      <c r="S9">
        <f t="shared" si="3"/>
        <v>21.599999999999998</v>
      </c>
      <c r="T9">
        <f>S9*Constants!$B$2</f>
        <v>60.47999999999999</v>
      </c>
      <c r="V9">
        <f t="shared" si="4"/>
        <v>0</v>
      </c>
      <c r="W9">
        <f t="shared" si="5"/>
        <v>0</v>
      </c>
      <c r="AA9" s="8"/>
      <c r="AJ9" s="4"/>
    </row>
    <row r="10" spans="1:40" x14ac:dyDescent="0.25">
      <c r="A10">
        <v>9</v>
      </c>
      <c r="B10">
        <v>7</v>
      </c>
      <c r="C10" t="s">
        <v>54</v>
      </c>
      <c r="D10" s="16" t="s">
        <v>447</v>
      </c>
      <c r="E10" s="16"/>
      <c r="F10">
        <v>24.41</v>
      </c>
      <c r="G10" t="s">
        <v>44</v>
      </c>
      <c r="H10">
        <v>0</v>
      </c>
      <c r="I10">
        <f>2*1.2*(4+4.5)</f>
        <v>20.399999999999999</v>
      </c>
      <c r="L10">
        <f>Constants!$B$2</f>
        <v>2.8</v>
      </c>
      <c r="M10" t="str">
        <f t="shared" si="0"/>
        <v>N/A</v>
      </c>
      <c r="N10">
        <f>P10*Constants!$E$2</f>
        <v>0</v>
      </c>
      <c r="P10">
        <f t="shared" si="1"/>
        <v>0</v>
      </c>
      <c r="Q10">
        <f>P10*Constants!$B$3</f>
        <v>0</v>
      </c>
      <c r="R10">
        <f t="shared" si="2"/>
        <v>0</v>
      </c>
      <c r="S10">
        <f t="shared" si="3"/>
        <v>20.399999999999999</v>
      </c>
      <c r="T10">
        <f>S10*Constants!$B$2</f>
        <v>57.11999999999999</v>
      </c>
      <c r="V10">
        <f t="shared" si="4"/>
        <v>0</v>
      </c>
      <c r="W10">
        <f t="shared" si="5"/>
        <v>0</v>
      </c>
      <c r="AA10" s="8"/>
      <c r="AJ10" s="4"/>
    </row>
    <row r="11" spans="1:40" x14ac:dyDescent="0.25">
      <c r="A11">
        <v>10</v>
      </c>
      <c r="B11">
        <v>7</v>
      </c>
      <c r="C11" t="s">
        <v>54</v>
      </c>
      <c r="D11" s="16" t="s">
        <v>448</v>
      </c>
      <c r="E11" s="16"/>
      <c r="F11">
        <v>14.96</v>
      </c>
      <c r="G11" t="s">
        <v>44</v>
      </c>
      <c r="H11">
        <v>0</v>
      </c>
      <c r="I11">
        <f>2*1.2*(2.5+4.5)</f>
        <v>16.8</v>
      </c>
      <c r="L11">
        <f>Constants!$B$2</f>
        <v>2.8</v>
      </c>
      <c r="M11" t="str">
        <f t="shared" si="0"/>
        <v>N/A</v>
      </c>
      <c r="N11">
        <f>P11*Constants!$E$2</f>
        <v>0</v>
      </c>
      <c r="P11">
        <f t="shared" si="1"/>
        <v>0</v>
      </c>
      <c r="Q11">
        <f>P11*Constants!$B$3</f>
        <v>0</v>
      </c>
      <c r="R11">
        <f t="shared" si="2"/>
        <v>0</v>
      </c>
      <c r="S11">
        <f t="shared" si="3"/>
        <v>16.8</v>
      </c>
      <c r="T11">
        <f>S11*Constants!$B$2</f>
        <v>47.04</v>
      </c>
      <c r="V11">
        <f t="shared" si="4"/>
        <v>0</v>
      </c>
      <c r="W11">
        <f t="shared" si="5"/>
        <v>0</v>
      </c>
      <c r="AA11" s="8"/>
      <c r="AJ11" s="4"/>
    </row>
    <row r="12" spans="1:40" x14ac:dyDescent="0.25">
      <c r="A12">
        <v>11</v>
      </c>
      <c r="B12">
        <v>7</v>
      </c>
      <c r="C12" t="s">
        <v>54</v>
      </c>
      <c r="D12" s="16" t="s">
        <v>449</v>
      </c>
      <c r="F12">
        <v>14.96</v>
      </c>
      <c r="G12" t="s">
        <v>44</v>
      </c>
      <c r="H12">
        <v>0</v>
      </c>
      <c r="I12">
        <f>2*1.2*(2.5+4.5)</f>
        <v>16.8</v>
      </c>
      <c r="L12">
        <f>Constants!$B$2</f>
        <v>2.8</v>
      </c>
      <c r="M12" t="str">
        <f t="shared" si="0"/>
        <v>N/A</v>
      </c>
      <c r="N12">
        <f>P12*Constants!$E$2</f>
        <v>0</v>
      </c>
      <c r="P12">
        <f t="shared" si="1"/>
        <v>0</v>
      </c>
      <c r="Q12">
        <f>P12*Constants!$B$3</f>
        <v>0</v>
      </c>
      <c r="R12">
        <f t="shared" si="2"/>
        <v>0</v>
      </c>
      <c r="S12">
        <f t="shared" si="3"/>
        <v>16.8</v>
      </c>
      <c r="T12">
        <f>S12*Constants!$B$2</f>
        <v>47.04</v>
      </c>
      <c r="V12">
        <f t="shared" si="4"/>
        <v>0</v>
      </c>
      <c r="W12">
        <f t="shared" si="5"/>
        <v>0</v>
      </c>
      <c r="AA12" s="8"/>
      <c r="AJ12" s="4"/>
    </row>
    <row r="13" spans="1:40" x14ac:dyDescent="0.25">
      <c r="A13">
        <v>12</v>
      </c>
      <c r="B13">
        <v>7</v>
      </c>
      <c r="C13" t="s">
        <v>54</v>
      </c>
      <c r="D13" s="16" t="s">
        <v>450</v>
      </c>
      <c r="E13" s="16"/>
      <c r="F13">
        <v>14.96</v>
      </c>
      <c r="G13" t="s">
        <v>44</v>
      </c>
      <c r="H13">
        <v>0</v>
      </c>
      <c r="I13">
        <f>2*1.2*(2.5+4.5)</f>
        <v>16.8</v>
      </c>
      <c r="L13">
        <f>Constants!$B$2</f>
        <v>2.8</v>
      </c>
      <c r="M13" t="str">
        <f t="shared" si="0"/>
        <v>N/A</v>
      </c>
      <c r="N13">
        <f>P13*Constants!$E$2</f>
        <v>0</v>
      </c>
      <c r="P13">
        <f t="shared" si="1"/>
        <v>0</v>
      </c>
      <c r="Q13">
        <f>P13*Constants!$B$3</f>
        <v>0</v>
      </c>
      <c r="R13">
        <f t="shared" si="2"/>
        <v>0</v>
      </c>
      <c r="S13">
        <f t="shared" si="3"/>
        <v>16.8</v>
      </c>
      <c r="T13">
        <f>S13*Constants!$B$2</f>
        <v>47.04</v>
      </c>
      <c r="V13">
        <f t="shared" si="4"/>
        <v>0</v>
      </c>
      <c r="W13">
        <f t="shared" si="5"/>
        <v>0</v>
      </c>
      <c r="AA13" s="8"/>
      <c r="AJ13" s="4"/>
    </row>
    <row r="14" spans="1:40" x14ac:dyDescent="0.25">
      <c r="A14">
        <v>13</v>
      </c>
      <c r="B14">
        <v>7</v>
      </c>
      <c r="C14" s="17" t="s">
        <v>54</v>
      </c>
      <c r="D14" s="16" t="s">
        <v>451</v>
      </c>
      <c r="F14">
        <v>14.96</v>
      </c>
      <c r="G14" t="s">
        <v>44</v>
      </c>
      <c r="H14">
        <v>0</v>
      </c>
      <c r="I14">
        <f>2*1.2*(2.5+4.5)</f>
        <v>16.8</v>
      </c>
      <c r="L14">
        <f>Constants!$B$2</f>
        <v>2.8</v>
      </c>
      <c r="M14" t="str">
        <f t="shared" si="0"/>
        <v>N/A</v>
      </c>
      <c r="N14">
        <f>P14*Constants!$E$2</f>
        <v>0</v>
      </c>
      <c r="P14">
        <f t="shared" si="1"/>
        <v>0</v>
      </c>
      <c r="Q14">
        <f>P14*Constants!$B$3</f>
        <v>0</v>
      </c>
      <c r="R14">
        <f t="shared" si="2"/>
        <v>0</v>
      </c>
      <c r="S14">
        <f t="shared" si="3"/>
        <v>16.8</v>
      </c>
      <c r="T14">
        <f>S14*Constants!$B$2</f>
        <v>47.04</v>
      </c>
      <c r="V14">
        <f t="shared" si="4"/>
        <v>0</v>
      </c>
      <c r="W14">
        <f t="shared" si="5"/>
        <v>0</v>
      </c>
      <c r="AA14" s="8"/>
      <c r="AJ14" s="4"/>
    </row>
    <row r="15" spans="1:40" x14ac:dyDescent="0.25">
      <c r="A15">
        <v>14</v>
      </c>
      <c r="B15">
        <v>7</v>
      </c>
      <c r="C15" t="s">
        <v>55</v>
      </c>
      <c r="D15" s="16" t="s">
        <v>452</v>
      </c>
      <c r="E15" s="16"/>
      <c r="F15">
        <v>44.89</v>
      </c>
      <c r="G15" t="s">
        <v>44</v>
      </c>
      <c r="H15">
        <v>0</v>
      </c>
      <c r="I15">
        <f>2*1.2*(5+6.5)</f>
        <v>27.599999999999998</v>
      </c>
      <c r="L15">
        <f>Constants!$B$2</f>
        <v>2.8</v>
      </c>
      <c r="M15" t="str">
        <f t="shared" si="0"/>
        <v>N/A</v>
      </c>
      <c r="N15">
        <f>P15*Constants!$E$2</f>
        <v>0</v>
      </c>
      <c r="P15">
        <f t="shared" si="1"/>
        <v>0</v>
      </c>
      <c r="Q15">
        <f>P15*Constants!$B$3</f>
        <v>0</v>
      </c>
      <c r="R15">
        <f t="shared" si="2"/>
        <v>0</v>
      </c>
      <c r="S15">
        <f t="shared" si="3"/>
        <v>27.599999999999998</v>
      </c>
      <c r="T15">
        <f>S15*Constants!$B$2</f>
        <v>77.279999999999987</v>
      </c>
      <c r="V15">
        <f t="shared" si="4"/>
        <v>0</v>
      </c>
      <c r="W15">
        <f t="shared" si="5"/>
        <v>0</v>
      </c>
      <c r="AA15" s="8"/>
      <c r="AJ15" s="4"/>
    </row>
    <row r="16" spans="1:40" x14ac:dyDescent="0.25">
      <c r="A16">
        <v>15</v>
      </c>
      <c r="B16">
        <v>7</v>
      </c>
      <c r="C16" t="s">
        <v>64</v>
      </c>
      <c r="D16" s="16" t="s">
        <v>453</v>
      </c>
      <c r="F16">
        <v>4.7</v>
      </c>
      <c r="G16" t="s">
        <v>44</v>
      </c>
      <c r="H16">
        <v>0</v>
      </c>
      <c r="I16">
        <f>2*1.2*(2.5+1.5)</f>
        <v>9.6</v>
      </c>
      <c r="L16">
        <f>Constants!$B$2</f>
        <v>2.8</v>
      </c>
      <c r="M16" t="str">
        <f t="shared" si="0"/>
        <v>N/A</v>
      </c>
      <c r="N16">
        <f>P16*Constants!$E$2</f>
        <v>0</v>
      </c>
      <c r="P16">
        <f t="shared" si="1"/>
        <v>0</v>
      </c>
      <c r="Q16">
        <f>P16*Constants!$B$3</f>
        <v>0</v>
      </c>
      <c r="R16">
        <f t="shared" si="2"/>
        <v>0</v>
      </c>
      <c r="S16">
        <f t="shared" si="3"/>
        <v>9.6</v>
      </c>
      <c r="T16">
        <f>S16*Constants!$B$2</f>
        <v>26.88</v>
      </c>
      <c r="V16">
        <f t="shared" si="4"/>
        <v>0</v>
      </c>
      <c r="W16">
        <f t="shared" si="5"/>
        <v>0</v>
      </c>
      <c r="AA16" s="8"/>
      <c r="AJ16" s="4"/>
    </row>
    <row r="17" spans="1:36" x14ac:dyDescent="0.25">
      <c r="A17">
        <v>16</v>
      </c>
      <c r="B17">
        <v>7</v>
      </c>
      <c r="C17" t="s">
        <v>64</v>
      </c>
      <c r="D17" s="16" t="s">
        <v>454</v>
      </c>
      <c r="E17" s="16"/>
      <c r="F17">
        <v>4.7</v>
      </c>
      <c r="G17" t="s">
        <v>44</v>
      </c>
      <c r="H17">
        <v>0</v>
      </c>
      <c r="I17">
        <f>2*1.2*(2.5+1.5)</f>
        <v>9.6</v>
      </c>
      <c r="L17">
        <f>Constants!$B$2</f>
        <v>2.8</v>
      </c>
      <c r="M17" t="str">
        <f t="shared" si="0"/>
        <v>N/A</v>
      </c>
      <c r="N17">
        <f>P17*Constants!$E$2</f>
        <v>0</v>
      </c>
      <c r="P17">
        <f t="shared" si="1"/>
        <v>0</v>
      </c>
      <c r="Q17">
        <f>P17*Constants!$B$3</f>
        <v>0</v>
      </c>
      <c r="R17">
        <f t="shared" si="2"/>
        <v>0</v>
      </c>
      <c r="S17">
        <f t="shared" si="3"/>
        <v>9.6</v>
      </c>
      <c r="T17">
        <f>S17*Constants!$B$2</f>
        <v>26.88</v>
      </c>
      <c r="V17">
        <f t="shared" si="4"/>
        <v>0</v>
      </c>
      <c r="W17">
        <f t="shared" si="5"/>
        <v>0</v>
      </c>
      <c r="AA17" s="8"/>
      <c r="AJ17" s="4"/>
    </row>
    <row r="18" spans="1:36" x14ac:dyDescent="0.25">
      <c r="D18" s="15"/>
    </row>
    <row r="19" spans="1:36" x14ac:dyDescent="0.25">
      <c r="D19" s="15"/>
    </row>
    <row r="20" spans="1:36" x14ac:dyDescent="0.25">
      <c r="D20" s="15"/>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4"/>
    </row>
    <row r="376" spans="4:4" x14ac:dyDescent="0.25">
      <c r="D376" s="14"/>
    </row>
    <row r="377" spans="4:4" x14ac:dyDescent="0.25">
      <c r="D377" s="13"/>
    </row>
    <row r="378" spans="4:4" x14ac:dyDescent="0.25">
      <c r="D378" s="13"/>
    </row>
    <row r="379" spans="4:4" x14ac:dyDescent="0.25">
      <c r="D379" s="13"/>
    </row>
    <row r="380" spans="4:4" x14ac:dyDescent="0.25">
      <c r="D380" s="13"/>
    </row>
    <row r="381" spans="4:4" x14ac:dyDescent="0.25">
      <c r="D381" s="13"/>
    </row>
    <row r="382" spans="4:4" x14ac:dyDescent="0.25">
      <c r="D382" s="13"/>
    </row>
    <row r="383" spans="4:4" x14ac:dyDescent="0.25">
      <c r="D383" s="13"/>
    </row>
    <row r="384" spans="4:4" x14ac:dyDescent="0.25">
      <c r="D384" s="13"/>
    </row>
  </sheetData>
  <pageMargins left="0.7" right="0.7" top="0.78740157499999996" bottom="0.78740157499999996"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04"/>
  <sheetViews>
    <sheetView zoomScaleNormal="100" workbookViewId="0">
      <pane xSplit="4" ySplit="1" topLeftCell="H2" activePane="bottomRight" state="frozen"/>
      <selection pane="topRight" activeCell="F1" sqref="F1"/>
      <selection pane="bottomLeft" activeCell="A2" sqref="A2"/>
      <selection pane="bottomRight" activeCell="A2" sqref="A2:XFD2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s="17" t="s">
        <v>62</v>
      </c>
      <c r="D2" s="16" t="s">
        <v>455</v>
      </c>
      <c r="F2">
        <v>70.08</v>
      </c>
      <c r="G2" t="s">
        <v>44</v>
      </c>
      <c r="H2">
        <v>0</v>
      </c>
      <c r="I2">
        <f>2*1.2*(2+24)</f>
        <v>62.4</v>
      </c>
      <c r="L2">
        <f>Constants!$B$2</f>
        <v>2.8</v>
      </c>
      <c r="M2" t="str">
        <f t="shared" ref="M2:M17" si="0">IF(N2&gt;0,G2,"N/A")</f>
        <v>N/A</v>
      </c>
      <c r="N2">
        <f>P2*Constants!$E$2</f>
        <v>0</v>
      </c>
      <c r="P2">
        <f>H2</f>
        <v>0</v>
      </c>
      <c r="Q2">
        <f>P2*Constants!$B$3</f>
        <v>0</v>
      </c>
      <c r="R2">
        <f>IF(Q2-N2&lt;=0, 0, Q2-N2)</f>
        <v>0</v>
      </c>
      <c r="S2">
        <f>I2-P2</f>
        <v>62.4</v>
      </c>
      <c r="T2">
        <f>S2*Constants!$B$2</f>
        <v>174.72</v>
      </c>
      <c r="V2">
        <f>IF(B2="E",1,0)</f>
        <v>0</v>
      </c>
      <c r="W2">
        <f>IF(B2=10,1,0)</f>
        <v>0</v>
      </c>
      <c r="AA2" s="8"/>
      <c r="AJ2" s="4"/>
    </row>
    <row r="3" spans="1:40" x14ac:dyDescent="0.25">
      <c r="A3">
        <v>2</v>
      </c>
      <c r="B3">
        <v>7</v>
      </c>
      <c r="C3" t="s">
        <v>49</v>
      </c>
      <c r="D3" s="16" t="s">
        <v>456</v>
      </c>
      <c r="F3">
        <v>26.07</v>
      </c>
      <c r="G3">
        <v>90</v>
      </c>
      <c r="H3">
        <f>3*1.2</f>
        <v>3.5999999999999996</v>
      </c>
      <c r="I3">
        <f>2*1.2*(4+3)</f>
        <v>16.8</v>
      </c>
      <c r="L3">
        <f>Constants!$B$2</f>
        <v>2.8</v>
      </c>
      <c r="M3">
        <f t="shared" si="0"/>
        <v>90</v>
      </c>
      <c r="N3">
        <f>P3*Constants!$E$2</f>
        <v>6.1199999999999992</v>
      </c>
      <c r="P3">
        <f t="shared" ref="P3:P17" si="1">H3</f>
        <v>3.5999999999999996</v>
      </c>
      <c r="Q3">
        <f>P3*Constants!$B$3</f>
        <v>15.119999999999996</v>
      </c>
      <c r="R3">
        <f t="shared" ref="R3:R17" si="2">IF(Q3-N3&lt;=0, 0, Q3-N3)</f>
        <v>8.9999999999999964</v>
      </c>
      <c r="S3">
        <f t="shared" ref="S3:S17" si="3">I3-P3</f>
        <v>13.200000000000001</v>
      </c>
      <c r="T3">
        <f>S3*Constants!$B$2</f>
        <v>36.96</v>
      </c>
      <c r="V3">
        <f t="shared" ref="V3:V17" si="4">IF(B3="E",1,0)</f>
        <v>0</v>
      </c>
      <c r="W3">
        <f t="shared" ref="W3:W17" si="5">IF(B3=10,1,0)</f>
        <v>0</v>
      </c>
      <c r="AA3" s="8"/>
      <c r="AJ3" s="4"/>
    </row>
    <row r="4" spans="1:40" x14ac:dyDescent="0.25">
      <c r="A4">
        <v>3</v>
      </c>
      <c r="B4">
        <v>7</v>
      </c>
      <c r="C4" t="s">
        <v>57</v>
      </c>
      <c r="D4" s="16" t="s">
        <v>457</v>
      </c>
      <c r="E4" s="16" t="s">
        <v>456</v>
      </c>
      <c r="F4">
        <v>3.71</v>
      </c>
      <c r="G4" t="s">
        <v>44</v>
      </c>
      <c r="H4">
        <v>0</v>
      </c>
      <c r="I4">
        <v>8.5500000000000007</v>
      </c>
      <c r="L4">
        <f>Constants!$B$2</f>
        <v>2.8</v>
      </c>
      <c r="M4" t="str">
        <f t="shared" si="0"/>
        <v>N/A</v>
      </c>
      <c r="N4">
        <f>P4*Constants!$E$2</f>
        <v>0</v>
      </c>
      <c r="P4">
        <f t="shared" si="1"/>
        <v>0</v>
      </c>
      <c r="Q4">
        <f>P4*Constants!$B$3</f>
        <v>0</v>
      </c>
      <c r="R4">
        <f t="shared" si="2"/>
        <v>0</v>
      </c>
      <c r="S4">
        <f t="shared" si="3"/>
        <v>8.5500000000000007</v>
      </c>
      <c r="T4">
        <f>S4*Constants!$B$2</f>
        <v>23.94</v>
      </c>
      <c r="V4">
        <f t="shared" si="4"/>
        <v>0</v>
      </c>
      <c r="W4">
        <f t="shared" si="5"/>
        <v>0</v>
      </c>
      <c r="AA4" s="8"/>
      <c r="AJ4" s="4"/>
    </row>
    <row r="5" spans="1:40" x14ac:dyDescent="0.25">
      <c r="A5">
        <v>4</v>
      </c>
      <c r="B5">
        <v>7</v>
      </c>
      <c r="C5" t="s">
        <v>49</v>
      </c>
      <c r="D5" s="16" t="s">
        <v>458</v>
      </c>
      <c r="F5">
        <v>26.07</v>
      </c>
      <c r="G5">
        <v>90</v>
      </c>
      <c r="H5">
        <f>3*1.2</f>
        <v>3.5999999999999996</v>
      </c>
      <c r="I5">
        <f>2*1.2*(6.5+3)</f>
        <v>22.8</v>
      </c>
      <c r="L5">
        <f>Constants!$B$2</f>
        <v>2.8</v>
      </c>
      <c r="M5">
        <f t="shared" si="0"/>
        <v>90</v>
      </c>
      <c r="N5">
        <f>P5*Constants!$E$2</f>
        <v>6.1199999999999992</v>
      </c>
      <c r="P5">
        <f t="shared" si="1"/>
        <v>3.5999999999999996</v>
      </c>
      <c r="Q5">
        <f>P5*Constants!$B$3</f>
        <v>15.119999999999996</v>
      </c>
      <c r="R5">
        <f t="shared" si="2"/>
        <v>8.9999999999999964</v>
      </c>
      <c r="S5">
        <f t="shared" si="3"/>
        <v>19.200000000000003</v>
      </c>
      <c r="T5">
        <f>S5*Constants!$B$2</f>
        <v>53.760000000000005</v>
      </c>
      <c r="V5">
        <f t="shared" si="4"/>
        <v>0</v>
      </c>
      <c r="W5">
        <f t="shared" si="5"/>
        <v>0</v>
      </c>
      <c r="AA5" s="8"/>
      <c r="AJ5" s="4"/>
    </row>
    <row r="6" spans="1:40" x14ac:dyDescent="0.25">
      <c r="A6">
        <v>5</v>
      </c>
      <c r="B6">
        <v>7</v>
      </c>
      <c r="C6" t="s">
        <v>57</v>
      </c>
      <c r="D6" s="16" t="s">
        <v>459</v>
      </c>
      <c r="E6" s="16" t="s">
        <v>458</v>
      </c>
      <c r="F6">
        <v>3.71</v>
      </c>
      <c r="G6" t="s">
        <v>44</v>
      </c>
      <c r="H6">
        <v>0</v>
      </c>
      <c r="I6">
        <v>8.5500000000000007</v>
      </c>
      <c r="L6">
        <f>Constants!$B$2</f>
        <v>2.8</v>
      </c>
      <c r="M6" t="str">
        <f t="shared" si="0"/>
        <v>N/A</v>
      </c>
      <c r="N6">
        <f>P6*Constants!$E$2</f>
        <v>0</v>
      </c>
      <c r="P6">
        <f t="shared" si="1"/>
        <v>0</v>
      </c>
      <c r="Q6">
        <f>P6*Constants!$B$3</f>
        <v>0</v>
      </c>
      <c r="R6">
        <f t="shared" si="2"/>
        <v>0</v>
      </c>
      <c r="S6">
        <f t="shared" si="3"/>
        <v>8.5500000000000007</v>
      </c>
      <c r="T6">
        <f>S6*Constants!$B$2</f>
        <v>23.94</v>
      </c>
      <c r="V6">
        <f t="shared" si="4"/>
        <v>0</v>
      </c>
      <c r="W6">
        <f t="shared" si="5"/>
        <v>0</v>
      </c>
      <c r="AA6" s="8"/>
      <c r="AJ6" s="4"/>
    </row>
    <row r="7" spans="1:40" x14ac:dyDescent="0.25">
      <c r="A7">
        <v>6</v>
      </c>
      <c r="B7">
        <v>7</v>
      </c>
      <c r="C7" t="s">
        <v>49</v>
      </c>
      <c r="D7" s="16" t="s">
        <v>460</v>
      </c>
      <c r="F7">
        <v>26.07</v>
      </c>
      <c r="G7">
        <v>90</v>
      </c>
      <c r="H7">
        <f>3*1.2</f>
        <v>3.5999999999999996</v>
      </c>
      <c r="I7">
        <f>2*1.2*(6.5+3)</f>
        <v>22.8</v>
      </c>
      <c r="L7">
        <f>Constants!$B$2</f>
        <v>2.8</v>
      </c>
      <c r="M7">
        <f t="shared" si="0"/>
        <v>90</v>
      </c>
      <c r="N7">
        <f>P7*Constants!$E$2</f>
        <v>6.1199999999999992</v>
      </c>
      <c r="P7">
        <f t="shared" si="1"/>
        <v>3.5999999999999996</v>
      </c>
      <c r="Q7">
        <f>P7*Constants!$B$3</f>
        <v>15.119999999999996</v>
      </c>
      <c r="R7">
        <f t="shared" si="2"/>
        <v>8.9999999999999964</v>
      </c>
      <c r="S7">
        <f t="shared" si="3"/>
        <v>19.200000000000003</v>
      </c>
      <c r="T7">
        <f>S7*Constants!$B$2</f>
        <v>53.760000000000005</v>
      </c>
      <c r="V7">
        <f t="shared" si="4"/>
        <v>0</v>
      </c>
      <c r="W7">
        <f t="shared" si="5"/>
        <v>0</v>
      </c>
      <c r="AA7" s="8"/>
      <c r="AJ7" s="4"/>
    </row>
    <row r="8" spans="1:40" x14ac:dyDescent="0.25">
      <c r="A8">
        <v>7</v>
      </c>
      <c r="B8">
        <v>7</v>
      </c>
      <c r="C8" t="s">
        <v>57</v>
      </c>
      <c r="D8" s="16" t="s">
        <v>461</v>
      </c>
      <c r="E8" s="16" t="s">
        <v>460</v>
      </c>
      <c r="F8">
        <v>3.71</v>
      </c>
      <c r="G8" t="s">
        <v>44</v>
      </c>
      <c r="H8">
        <v>0</v>
      </c>
      <c r="I8">
        <v>8.5500000000000007</v>
      </c>
      <c r="L8">
        <f>Constants!$B$2</f>
        <v>2.8</v>
      </c>
      <c r="M8" t="str">
        <f t="shared" si="0"/>
        <v>N/A</v>
      </c>
      <c r="N8">
        <f>P8*Constants!$E$2</f>
        <v>0</v>
      </c>
      <c r="P8">
        <f t="shared" si="1"/>
        <v>0</v>
      </c>
      <c r="Q8">
        <f>P8*Constants!$B$3</f>
        <v>0</v>
      </c>
      <c r="R8">
        <f t="shared" si="2"/>
        <v>0</v>
      </c>
      <c r="S8">
        <f t="shared" si="3"/>
        <v>8.5500000000000007</v>
      </c>
      <c r="T8">
        <f>S8*Constants!$B$2</f>
        <v>23.94</v>
      </c>
      <c r="V8">
        <f t="shared" si="4"/>
        <v>0</v>
      </c>
      <c r="W8">
        <f t="shared" si="5"/>
        <v>0</v>
      </c>
      <c r="AA8" s="8"/>
      <c r="AJ8" s="4"/>
    </row>
    <row r="9" spans="1:40" x14ac:dyDescent="0.25">
      <c r="A9">
        <v>8</v>
      </c>
      <c r="B9">
        <v>7</v>
      </c>
      <c r="C9" t="s">
        <v>49</v>
      </c>
      <c r="D9" s="16" t="s">
        <v>462</v>
      </c>
      <c r="F9">
        <v>25.92</v>
      </c>
      <c r="G9">
        <v>90</v>
      </c>
      <c r="H9">
        <f>3*1.2</f>
        <v>3.5999999999999996</v>
      </c>
      <c r="I9">
        <f>2*1.2*(6.5+3)</f>
        <v>22.8</v>
      </c>
      <c r="L9">
        <f>Constants!$B$2</f>
        <v>2.8</v>
      </c>
      <c r="M9">
        <f t="shared" si="0"/>
        <v>90</v>
      </c>
      <c r="N9">
        <f>P9*Constants!$E$2</f>
        <v>6.1199999999999992</v>
      </c>
      <c r="P9">
        <f t="shared" si="1"/>
        <v>3.5999999999999996</v>
      </c>
      <c r="Q9">
        <f>P9*Constants!$B$3</f>
        <v>15.119999999999996</v>
      </c>
      <c r="R9">
        <f t="shared" si="2"/>
        <v>8.9999999999999964</v>
      </c>
      <c r="S9">
        <f t="shared" si="3"/>
        <v>19.200000000000003</v>
      </c>
      <c r="T9">
        <f>S9*Constants!$B$2</f>
        <v>53.760000000000005</v>
      </c>
      <c r="V9">
        <f t="shared" si="4"/>
        <v>0</v>
      </c>
      <c r="W9">
        <f t="shared" si="5"/>
        <v>0</v>
      </c>
      <c r="AA9" s="8"/>
      <c r="AJ9" s="4"/>
    </row>
    <row r="10" spans="1:40" x14ac:dyDescent="0.25">
      <c r="A10">
        <v>9</v>
      </c>
      <c r="B10">
        <v>7</v>
      </c>
      <c r="C10" t="s">
        <v>57</v>
      </c>
      <c r="D10" s="16" t="s">
        <v>463</v>
      </c>
      <c r="E10" s="16" t="s">
        <v>462</v>
      </c>
      <c r="F10">
        <v>3.71</v>
      </c>
      <c r="G10" t="s">
        <v>44</v>
      </c>
      <c r="H10">
        <v>0</v>
      </c>
      <c r="I10">
        <v>8.5500000000000007</v>
      </c>
      <c r="L10">
        <f>Constants!$B$2</f>
        <v>2.8</v>
      </c>
      <c r="M10" t="str">
        <f t="shared" si="0"/>
        <v>N/A</v>
      </c>
      <c r="N10">
        <f>P10*Constants!$E$2</f>
        <v>0</v>
      </c>
      <c r="P10">
        <f t="shared" si="1"/>
        <v>0</v>
      </c>
      <c r="Q10">
        <f>P10*Constants!$B$3</f>
        <v>0</v>
      </c>
      <c r="R10">
        <f t="shared" si="2"/>
        <v>0</v>
      </c>
      <c r="S10">
        <f t="shared" si="3"/>
        <v>8.5500000000000007</v>
      </c>
      <c r="T10">
        <f>S10*Constants!$B$2</f>
        <v>23.94</v>
      </c>
      <c r="V10">
        <f t="shared" si="4"/>
        <v>0</v>
      </c>
      <c r="W10">
        <f t="shared" si="5"/>
        <v>0</v>
      </c>
      <c r="AA10" s="8"/>
      <c r="AJ10" s="4"/>
    </row>
    <row r="11" spans="1:40" x14ac:dyDescent="0.25">
      <c r="A11">
        <v>10</v>
      </c>
      <c r="B11">
        <v>7</v>
      </c>
      <c r="C11" t="s">
        <v>49</v>
      </c>
      <c r="D11" s="16" t="s">
        <v>464</v>
      </c>
      <c r="F11">
        <v>25.92</v>
      </c>
      <c r="G11">
        <v>90</v>
      </c>
      <c r="H11">
        <f>3*1.2</f>
        <v>3.5999999999999996</v>
      </c>
      <c r="I11">
        <f>2*1.2*(6.5+3)</f>
        <v>22.8</v>
      </c>
      <c r="L11">
        <f>Constants!$B$2</f>
        <v>2.8</v>
      </c>
      <c r="M11">
        <f t="shared" si="0"/>
        <v>90</v>
      </c>
      <c r="N11">
        <f>P11*Constants!$E$2</f>
        <v>6.1199999999999992</v>
      </c>
      <c r="P11">
        <f t="shared" si="1"/>
        <v>3.5999999999999996</v>
      </c>
      <c r="Q11">
        <f>P11*Constants!$B$3</f>
        <v>15.119999999999996</v>
      </c>
      <c r="R11">
        <f t="shared" si="2"/>
        <v>8.9999999999999964</v>
      </c>
      <c r="S11">
        <f t="shared" si="3"/>
        <v>19.200000000000003</v>
      </c>
      <c r="T11">
        <f>S11*Constants!$B$2</f>
        <v>53.760000000000005</v>
      </c>
      <c r="V11">
        <f t="shared" si="4"/>
        <v>0</v>
      </c>
      <c r="W11">
        <f t="shared" si="5"/>
        <v>0</v>
      </c>
      <c r="AA11" s="8"/>
      <c r="AJ11" s="4"/>
    </row>
    <row r="12" spans="1:40" x14ac:dyDescent="0.25">
      <c r="A12">
        <v>11</v>
      </c>
      <c r="B12">
        <v>7</v>
      </c>
      <c r="C12" t="s">
        <v>57</v>
      </c>
      <c r="D12" s="16" t="s">
        <v>465</v>
      </c>
      <c r="E12" s="16" t="s">
        <v>464</v>
      </c>
      <c r="F12">
        <v>3.71</v>
      </c>
      <c r="G12" t="s">
        <v>44</v>
      </c>
      <c r="H12">
        <v>0</v>
      </c>
      <c r="I12">
        <v>8.5500000000000007</v>
      </c>
      <c r="L12">
        <f>Constants!$B$2</f>
        <v>2.8</v>
      </c>
      <c r="M12" t="str">
        <f t="shared" si="0"/>
        <v>N/A</v>
      </c>
      <c r="N12">
        <f>P12*Constants!$E$2</f>
        <v>0</v>
      </c>
      <c r="P12">
        <f t="shared" si="1"/>
        <v>0</v>
      </c>
      <c r="Q12">
        <f>P12*Constants!$B$3</f>
        <v>0</v>
      </c>
      <c r="R12">
        <f t="shared" si="2"/>
        <v>0</v>
      </c>
      <c r="S12">
        <f t="shared" si="3"/>
        <v>8.5500000000000007</v>
      </c>
      <c r="T12">
        <f>S12*Constants!$B$2</f>
        <v>23.94</v>
      </c>
      <c r="V12">
        <f t="shared" si="4"/>
        <v>0</v>
      </c>
      <c r="W12">
        <f t="shared" si="5"/>
        <v>0</v>
      </c>
      <c r="AA12" s="8"/>
      <c r="AJ12" s="4"/>
    </row>
    <row r="13" spans="1:40" x14ac:dyDescent="0.25">
      <c r="A13">
        <v>12</v>
      </c>
      <c r="B13">
        <v>7</v>
      </c>
      <c r="C13" t="s">
        <v>49</v>
      </c>
      <c r="D13" s="16" t="s">
        <v>466</v>
      </c>
      <c r="F13">
        <v>26.07</v>
      </c>
      <c r="G13">
        <v>90</v>
      </c>
      <c r="H13">
        <f>3*1.2</f>
        <v>3.5999999999999996</v>
      </c>
      <c r="I13">
        <f>2*1.2*(6.5+3)</f>
        <v>22.8</v>
      </c>
      <c r="L13">
        <f>Constants!$B$2</f>
        <v>2.8</v>
      </c>
      <c r="M13">
        <f t="shared" si="0"/>
        <v>90</v>
      </c>
      <c r="N13">
        <f>P13*Constants!$E$2</f>
        <v>6.1199999999999992</v>
      </c>
      <c r="P13">
        <f t="shared" si="1"/>
        <v>3.5999999999999996</v>
      </c>
      <c r="Q13">
        <f>P13*Constants!$B$3</f>
        <v>15.119999999999996</v>
      </c>
      <c r="R13">
        <f t="shared" si="2"/>
        <v>8.9999999999999964</v>
      </c>
      <c r="S13">
        <f t="shared" si="3"/>
        <v>19.200000000000003</v>
      </c>
      <c r="T13">
        <f>S13*Constants!$B$2</f>
        <v>53.760000000000005</v>
      </c>
      <c r="V13">
        <f t="shared" si="4"/>
        <v>0</v>
      </c>
      <c r="W13">
        <f t="shared" si="5"/>
        <v>0</v>
      </c>
      <c r="AA13" s="8"/>
      <c r="AJ13" s="4"/>
    </row>
    <row r="14" spans="1:40" x14ac:dyDescent="0.25">
      <c r="A14">
        <v>13</v>
      </c>
      <c r="B14">
        <v>7</v>
      </c>
      <c r="C14" t="s">
        <v>57</v>
      </c>
      <c r="D14" s="16" t="s">
        <v>467</v>
      </c>
      <c r="E14" s="16" t="s">
        <v>466</v>
      </c>
      <c r="F14">
        <v>3.71</v>
      </c>
      <c r="G14" t="s">
        <v>44</v>
      </c>
      <c r="H14">
        <v>0</v>
      </c>
      <c r="I14">
        <v>8.5500000000000007</v>
      </c>
      <c r="L14">
        <f>Constants!$B$2</f>
        <v>2.8</v>
      </c>
      <c r="M14" t="str">
        <f t="shared" si="0"/>
        <v>N/A</v>
      </c>
      <c r="N14">
        <f>P14*Constants!$E$2</f>
        <v>0</v>
      </c>
      <c r="P14">
        <f t="shared" si="1"/>
        <v>0</v>
      </c>
      <c r="Q14">
        <f>P14*Constants!$B$3</f>
        <v>0</v>
      </c>
      <c r="R14">
        <f t="shared" si="2"/>
        <v>0</v>
      </c>
      <c r="S14">
        <f t="shared" si="3"/>
        <v>8.5500000000000007</v>
      </c>
      <c r="T14">
        <f>S14*Constants!$B$2</f>
        <v>23.94</v>
      </c>
      <c r="V14">
        <f t="shared" si="4"/>
        <v>0</v>
      </c>
      <c r="W14">
        <f t="shared" si="5"/>
        <v>0</v>
      </c>
      <c r="AA14" s="8"/>
      <c r="AJ14" s="4"/>
    </row>
    <row r="15" spans="1:40" x14ac:dyDescent="0.25">
      <c r="A15">
        <v>14</v>
      </c>
      <c r="B15">
        <v>7</v>
      </c>
      <c r="C15" t="s">
        <v>49</v>
      </c>
      <c r="D15" s="16" t="s">
        <v>468</v>
      </c>
      <c r="F15">
        <v>26.07</v>
      </c>
      <c r="G15">
        <v>90</v>
      </c>
      <c r="H15">
        <f>3*1.2</f>
        <v>3.5999999999999996</v>
      </c>
      <c r="I15">
        <f>2*1.2*(6.5+3)</f>
        <v>22.8</v>
      </c>
      <c r="L15">
        <f>Constants!$B$2</f>
        <v>2.8</v>
      </c>
      <c r="M15">
        <f t="shared" si="0"/>
        <v>90</v>
      </c>
      <c r="N15">
        <f>P15*Constants!$E$2</f>
        <v>6.1199999999999992</v>
      </c>
      <c r="P15">
        <f t="shared" si="1"/>
        <v>3.5999999999999996</v>
      </c>
      <c r="Q15">
        <f>P15*Constants!$B$3</f>
        <v>15.119999999999996</v>
      </c>
      <c r="R15">
        <f t="shared" si="2"/>
        <v>8.9999999999999964</v>
      </c>
      <c r="S15">
        <f t="shared" si="3"/>
        <v>19.200000000000003</v>
      </c>
      <c r="T15">
        <f>S15*Constants!$B$2</f>
        <v>53.760000000000005</v>
      </c>
      <c r="V15">
        <f t="shared" si="4"/>
        <v>0</v>
      </c>
      <c r="W15">
        <f t="shared" si="5"/>
        <v>0</v>
      </c>
      <c r="AA15" s="8"/>
      <c r="AJ15" s="4"/>
    </row>
    <row r="16" spans="1:40" x14ac:dyDescent="0.25">
      <c r="A16">
        <v>15</v>
      </c>
      <c r="B16">
        <v>7</v>
      </c>
      <c r="C16" t="s">
        <v>57</v>
      </c>
      <c r="D16" s="16" t="s">
        <v>469</v>
      </c>
      <c r="E16" s="16" t="s">
        <v>468</v>
      </c>
      <c r="F16">
        <v>3.71</v>
      </c>
      <c r="G16" t="s">
        <v>44</v>
      </c>
      <c r="H16">
        <v>0</v>
      </c>
      <c r="I16">
        <v>8.5500000000000007</v>
      </c>
      <c r="L16">
        <f>Constants!$B$2</f>
        <v>2.8</v>
      </c>
      <c r="M16" t="str">
        <f t="shared" si="0"/>
        <v>N/A</v>
      </c>
      <c r="N16">
        <f>P16*Constants!$E$2</f>
        <v>0</v>
      </c>
      <c r="P16">
        <f t="shared" si="1"/>
        <v>0</v>
      </c>
      <c r="Q16">
        <f>P16*Constants!$B$3</f>
        <v>0</v>
      </c>
      <c r="R16">
        <f t="shared" si="2"/>
        <v>0</v>
      </c>
      <c r="S16">
        <f t="shared" si="3"/>
        <v>8.5500000000000007</v>
      </c>
      <c r="T16">
        <f>S16*Constants!$B$2</f>
        <v>23.94</v>
      </c>
      <c r="V16">
        <f t="shared" si="4"/>
        <v>0</v>
      </c>
      <c r="W16">
        <f t="shared" si="5"/>
        <v>0</v>
      </c>
      <c r="AA16" s="8"/>
      <c r="AJ16" s="4"/>
    </row>
    <row r="17" spans="1:36" x14ac:dyDescent="0.25">
      <c r="A17">
        <v>16</v>
      </c>
      <c r="B17">
        <v>7</v>
      </c>
      <c r="C17" t="s">
        <v>49</v>
      </c>
      <c r="D17" s="16" t="s">
        <v>470</v>
      </c>
      <c r="F17">
        <v>26.07</v>
      </c>
      <c r="G17">
        <v>90</v>
      </c>
      <c r="H17">
        <f>3*1.2</f>
        <v>3.5999999999999996</v>
      </c>
      <c r="I17">
        <f>2*1.2*(6.5+3)</f>
        <v>22.8</v>
      </c>
      <c r="L17">
        <f>Constants!$B$2</f>
        <v>2.8</v>
      </c>
      <c r="M17">
        <f t="shared" si="0"/>
        <v>90</v>
      </c>
      <c r="N17">
        <f>P17*Constants!$E$2</f>
        <v>6.1199999999999992</v>
      </c>
      <c r="P17">
        <f t="shared" si="1"/>
        <v>3.5999999999999996</v>
      </c>
      <c r="Q17">
        <f>P17*Constants!$B$3</f>
        <v>15.119999999999996</v>
      </c>
      <c r="R17">
        <f t="shared" si="2"/>
        <v>8.9999999999999964</v>
      </c>
      <c r="S17">
        <f t="shared" si="3"/>
        <v>19.200000000000003</v>
      </c>
      <c r="T17">
        <f>S17*Constants!$B$2</f>
        <v>53.760000000000005</v>
      </c>
      <c r="V17">
        <f t="shared" si="4"/>
        <v>0</v>
      </c>
      <c r="W17">
        <f t="shared" si="5"/>
        <v>0</v>
      </c>
      <c r="AA17" s="8"/>
      <c r="AJ17" s="4"/>
    </row>
    <row r="18" spans="1:36" x14ac:dyDescent="0.25">
      <c r="A18">
        <v>17</v>
      </c>
      <c r="B18">
        <v>7</v>
      </c>
      <c r="C18" t="s">
        <v>57</v>
      </c>
      <c r="D18" s="16" t="s">
        <v>471</v>
      </c>
      <c r="E18" s="16" t="s">
        <v>470</v>
      </c>
      <c r="F18">
        <v>3.71</v>
      </c>
      <c r="G18" t="s">
        <v>44</v>
      </c>
      <c r="H18">
        <v>0</v>
      </c>
      <c r="I18">
        <v>8.5500000000000007</v>
      </c>
      <c r="L18">
        <f>Constants!$B$2</f>
        <v>2.8</v>
      </c>
      <c r="M18" t="str">
        <f t="shared" ref="M18:M20" si="6">IF(N18&gt;0,G18,"N/A")</f>
        <v>N/A</v>
      </c>
      <c r="N18">
        <f>P18*Constants!$E$2</f>
        <v>0</v>
      </c>
      <c r="P18">
        <f t="shared" ref="P18:P20" si="7">H18</f>
        <v>0</v>
      </c>
      <c r="Q18">
        <f>P18*Constants!$B$3</f>
        <v>0</v>
      </c>
      <c r="R18">
        <f t="shared" ref="R18:R20" si="8">IF(Q18-N18&lt;=0, 0, Q18-N18)</f>
        <v>0</v>
      </c>
      <c r="S18">
        <f t="shared" ref="S18:S20" si="9">I18-P18</f>
        <v>8.5500000000000007</v>
      </c>
      <c r="T18">
        <f>S18*Constants!$B$2</f>
        <v>23.94</v>
      </c>
      <c r="V18">
        <f t="shared" ref="V18:V20" si="10">IF(B18="E",1,0)</f>
        <v>0</v>
      </c>
      <c r="W18">
        <f t="shared" ref="W18:W20" si="11">IF(B18=10,1,0)</f>
        <v>0</v>
      </c>
      <c r="AA18" s="8"/>
      <c r="AJ18" s="4"/>
    </row>
    <row r="19" spans="1:36" x14ac:dyDescent="0.25">
      <c r="A19">
        <v>18</v>
      </c>
      <c r="B19">
        <v>7</v>
      </c>
      <c r="C19" t="s">
        <v>67</v>
      </c>
      <c r="D19" s="16" t="s">
        <v>472</v>
      </c>
      <c r="F19">
        <v>5.69</v>
      </c>
      <c r="G19" t="s">
        <v>44</v>
      </c>
      <c r="H19">
        <v>0</v>
      </c>
      <c r="I19">
        <f>2*1.2*(1.5+3)</f>
        <v>10.799999999999999</v>
      </c>
      <c r="L19">
        <f>Constants!$B$2</f>
        <v>2.8</v>
      </c>
      <c r="M19" t="str">
        <f t="shared" si="6"/>
        <v>N/A</v>
      </c>
      <c r="N19">
        <f>P19*Constants!$E$2</f>
        <v>0</v>
      </c>
      <c r="P19">
        <f t="shared" si="7"/>
        <v>0</v>
      </c>
      <c r="Q19">
        <f>P19*Constants!$B$3</f>
        <v>0</v>
      </c>
      <c r="R19">
        <f t="shared" si="8"/>
        <v>0</v>
      </c>
      <c r="S19">
        <f t="shared" si="9"/>
        <v>10.799999999999999</v>
      </c>
      <c r="T19">
        <f>S19*Constants!$B$2</f>
        <v>30.239999999999995</v>
      </c>
      <c r="V19">
        <f t="shared" si="10"/>
        <v>0</v>
      </c>
      <c r="W19">
        <f t="shared" si="11"/>
        <v>0</v>
      </c>
      <c r="AA19" s="8"/>
      <c r="AJ19" s="4"/>
    </row>
    <row r="20" spans="1:36" x14ac:dyDescent="0.25">
      <c r="A20">
        <v>19</v>
      </c>
      <c r="B20">
        <v>7</v>
      </c>
      <c r="C20" t="s">
        <v>67</v>
      </c>
      <c r="D20" s="16" t="s">
        <v>473</v>
      </c>
      <c r="F20">
        <v>7.76</v>
      </c>
      <c r="G20" t="s">
        <v>44</v>
      </c>
      <c r="H20">
        <v>0</v>
      </c>
      <c r="I20">
        <f>2*1.2*(2+3)</f>
        <v>12</v>
      </c>
      <c r="L20">
        <f>Constants!$B$2</f>
        <v>2.8</v>
      </c>
      <c r="M20" t="str">
        <f t="shared" si="6"/>
        <v>N/A</v>
      </c>
      <c r="N20">
        <f>P20*Constants!$E$2</f>
        <v>0</v>
      </c>
      <c r="P20">
        <f t="shared" si="7"/>
        <v>0</v>
      </c>
      <c r="Q20">
        <f>P20*Constants!$B$3</f>
        <v>0</v>
      </c>
      <c r="R20">
        <f t="shared" si="8"/>
        <v>0</v>
      </c>
      <c r="S20">
        <f t="shared" si="9"/>
        <v>12</v>
      </c>
      <c r="T20">
        <f>S20*Constants!$B$2</f>
        <v>33.599999999999994</v>
      </c>
      <c r="V20">
        <f t="shared" si="10"/>
        <v>0</v>
      </c>
      <c r="W20">
        <f t="shared" si="11"/>
        <v>0</v>
      </c>
      <c r="AA20" s="8"/>
      <c r="AJ20" s="4"/>
    </row>
    <row r="21" spans="1:36" x14ac:dyDescent="0.25">
      <c r="A21">
        <v>20</v>
      </c>
      <c r="B21">
        <v>7</v>
      </c>
      <c r="C21" t="s">
        <v>74</v>
      </c>
      <c r="D21" s="16" t="s">
        <v>474</v>
      </c>
      <c r="E21" s="16"/>
      <c r="F21">
        <v>9</v>
      </c>
      <c r="G21" t="s">
        <v>44</v>
      </c>
      <c r="H21">
        <v>0</v>
      </c>
      <c r="I21">
        <f>2*1.2*(2.5+3)</f>
        <v>13.2</v>
      </c>
      <c r="L21">
        <f>Constants!$B$2</f>
        <v>2.8</v>
      </c>
      <c r="M21" t="str">
        <f t="shared" ref="M21:M23" si="12">IF(N21&gt;0,G21,"N/A")</f>
        <v>N/A</v>
      </c>
      <c r="N21">
        <f>P21*Constants!$E$2</f>
        <v>0</v>
      </c>
      <c r="P21">
        <f t="shared" ref="P21:P23" si="13">H21</f>
        <v>0</v>
      </c>
      <c r="Q21">
        <f>P21*Constants!$B$3</f>
        <v>0</v>
      </c>
      <c r="R21">
        <f t="shared" ref="R21:R23" si="14">IF(Q21-N21&lt;=0, 0, Q21-N21)</f>
        <v>0</v>
      </c>
      <c r="S21">
        <f t="shared" ref="S21:S23" si="15">I21-P21</f>
        <v>13.2</v>
      </c>
      <c r="T21">
        <f>S21*Constants!$B$2</f>
        <v>36.959999999999994</v>
      </c>
      <c r="V21">
        <f t="shared" ref="V21:V23" si="16">IF(B21="E",1,0)</f>
        <v>0</v>
      </c>
      <c r="W21">
        <f t="shared" ref="W21:W23" si="17">IF(B21=10,1,0)</f>
        <v>0</v>
      </c>
      <c r="AA21" s="8"/>
      <c r="AJ21" s="4"/>
    </row>
    <row r="22" spans="1:36" x14ac:dyDescent="0.25">
      <c r="A22">
        <v>21</v>
      </c>
      <c r="B22">
        <v>7</v>
      </c>
      <c r="C22" t="s">
        <v>66</v>
      </c>
      <c r="D22" s="16" t="s">
        <v>475</v>
      </c>
      <c r="F22">
        <v>5.85</v>
      </c>
      <c r="G22" t="s">
        <v>44</v>
      </c>
      <c r="H22">
        <v>0</v>
      </c>
      <c r="I22">
        <f>2*1.2*(1.5+3)</f>
        <v>10.799999999999999</v>
      </c>
      <c r="L22">
        <f>Constants!$B$2</f>
        <v>2.8</v>
      </c>
      <c r="M22" t="str">
        <f t="shared" si="12"/>
        <v>N/A</v>
      </c>
      <c r="N22">
        <f>P22*Constants!$E$2</f>
        <v>0</v>
      </c>
      <c r="P22">
        <f t="shared" si="13"/>
        <v>0</v>
      </c>
      <c r="Q22">
        <f>P22*Constants!$B$3</f>
        <v>0</v>
      </c>
      <c r="R22">
        <f t="shared" si="14"/>
        <v>0</v>
      </c>
      <c r="S22">
        <f t="shared" si="15"/>
        <v>10.799999999999999</v>
      </c>
      <c r="T22">
        <f>S22*Constants!$B$2</f>
        <v>30.239999999999995</v>
      </c>
      <c r="V22">
        <f t="shared" si="16"/>
        <v>0</v>
      </c>
      <c r="W22">
        <f t="shared" si="17"/>
        <v>0</v>
      </c>
      <c r="AA22" s="8"/>
      <c r="AJ22" s="4"/>
    </row>
    <row r="23" spans="1:36" x14ac:dyDescent="0.25">
      <c r="A23">
        <v>22</v>
      </c>
      <c r="B23">
        <v>7</v>
      </c>
      <c r="C23" t="s">
        <v>45</v>
      </c>
      <c r="D23" s="16" t="s">
        <v>476</v>
      </c>
      <c r="F23">
        <v>7.61</v>
      </c>
      <c r="G23" t="s">
        <v>44</v>
      </c>
      <c r="H23">
        <v>0</v>
      </c>
      <c r="I23">
        <f>2*1.2*(2+3)</f>
        <v>12</v>
      </c>
      <c r="L23">
        <f>Constants!$B$2</f>
        <v>2.8</v>
      </c>
      <c r="M23" t="str">
        <f t="shared" si="12"/>
        <v>N/A</v>
      </c>
      <c r="N23">
        <f>P23*Constants!$E$2</f>
        <v>0</v>
      </c>
      <c r="P23">
        <f t="shared" si="13"/>
        <v>0</v>
      </c>
      <c r="Q23">
        <f>P23*Constants!$B$3</f>
        <v>0</v>
      </c>
      <c r="R23">
        <f t="shared" si="14"/>
        <v>0</v>
      </c>
      <c r="S23">
        <f t="shared" si="15"/>
        <v>12</v>
      </c>
      <c r="T23">
        <f>S23*Constants!$B$2</f>
        <v>33.599999999999994</v>
      </c>
      <c r="V23">
        <f t="shared" si="16"/>
        <v>0</v>
      </c>
      <c r="W23">
        <f t="shared" si="17"/>
        <v>0</v>
      </c>
      <c r="AA23" s="8"/>
      <c r="AJ23" s="4"/>
    </row>
    <row r="24" spans="1:36" x14ac:dyDescent="0.25">
      <c r="A24">
        <v>23</v>
      </c>
      <c r="B24">
        <v>7</v>
      </c>
      <c r="C24" t="s">
        <v>59</v>
      </c>
      <c r="D24" s="16" t="s">
        <v>477</v>
      </c>
      <c r="E24" s="16"/>
      <c r="F24">
        <v>18.03</v>
      </c>
      <c r="G24" t="s">
        <v>44</v>
      </c>
      <c r="H24">
        <v>0</v>
      </c>
      <c r="I24">
        <f>2*1.2*(3+4.5)</f>
        <v>18</v>
      </c>
      <c r="L24">
        <f>Constants!$B$2</f>
        <v>2.8</v>
      </c>
      <c r="M24" t="str">
        <f t="shared" ref="M24:M25" si="18">IF(N24&gt;0,G24,"N/A")</f>
        <v>N/A</v>
      </c>
      <c r="N24">
        <f>P24*Constants!$E$2</f>
        <v>0</v>
      </c>
      <c r="P24">
        <f t="shared" ref="P24:P25" si="19">H24</f>
        <v>0</v>
      </c>
      <c r="Q24">
        <f>P24*Constants!$B$3</f>
        <v>0</v>
      </c>
      <c r="R24">
        <f t="shared" ref="R24:R25" si="20">IF(Q24-N24&lt;=0, 0, Q24-N24)</f>
        <v>0</v>
      </c>
      <c r="S24">
        <f t="shared" ref="S24:S25" si="21">I24-P24</f>
        <v>18</v>
      </c>
      <c r="T24">
        <f>S24*Constants!$B$2</f>
        <v>50.4</v>
      </c>
      <c r="V24">
        <f t="shared" ref="V24:V25" si="22">IF(B24="E",1,0)</f>
        <v>0</v>
      </c>
      <c r="W24">
        <f t="shared" ref="W24:W25" si="23">IF(B24=10,1,0)</f>
        <v>0</v>
      </c>
      <c r="AA24" s="8"/>
      <c r="AJ24" s="4"/>
    </row>
    <row r="25" spans="1:36" x14ac:dyDescent="0.25">
      <c r="A25">
        <v>24</v>
      </c>
      <c r="B25">
        <v>7</v>
      </c>
      <c r="C25" t="s">
        <v>55</v>
      </c>
      <c r="D25" s="16" t="s">
        <v>478</v>
      </c>
      <c r="F25">
        <v>20.45</v>
      </c>
      <c r="G25" t="s">
        <v>44</v>
      </c>
      <c r="H25">
        <v>0</v>
      </c>
      <c r="I25">
        <f>2*1.2*(3+5)</f>
        <v>19.2</v>
      </c>
      <c r="L25">
        <f>Constants!$B$2</f>
        <v>2.8</v>
      </c>
      <c r="M25" t="str">
        <f t="shared" si="18"/>
        <v>N/A</v>
      </c>
      <c r="N25">
        <f>P25*Constants!$E$2</f>
        <v>0</v>
      </c>
      <c r="P25">
        <f t="shared" si="19"/>
        <v>0</v>
      </c>
      <c r="Q25">
        <f>P25*Constants!$B$3</f>
        <v>0</v>
      </c>
      <c r="R25">
        <f t="shared" si="20"/>
        <v>0</v>
      </c>
      <c r="S25">
        <f t="shared" si="21"/>
        <v>19.2</v>
      </c>
      <c r="T25">
        <f>S25*Constants!$B$2</f>
        <v>53.76</v>
      </c>
      <c r="V25">
        <f t="shared" si="22"/>
        <v>0</v>
      </c>
      <c r="W25">
        <f t="shared" si="23"/>
        <v>0</v>
      </c>
      <c r="AA25" s="8"/>
      <c r="AJ25" s="4"/>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4"/>
    </row>
    <row r="396" spans="4:4" x14ac:dyDescent="0.25">
      <c r="D396" s="14"/>
    </row>
    <row r="397" spans="4:4" x14ac:dyDescent="0.25">
      <c r="D397" s="13"/>
    </row>
    <row r="398" spans="4:4" x14ac:dyDescent="0.25">
      <c r="D398" s="13"/>
    </row>
    <row r="399" spans="4:4" x14ac:dyDescent="0.25">
      <c r="D399" s="13"/>
    </row>
    <row r="400" spans="4:4" x14ac:dyDescent="0.25">
      <c r="D400" s="13"/>
    </row>
    <row r="401" spans="4:4" x14ac:dyDescent="0.25">
      <c r="D401" s="13"/>
    </row>
    <row r="402" spans="4:4" x14ac:dyDescent="0.25">
      <c r="D402" s="13"/>
    </row>
    <row r="403" spans="4:4" x14ac:dyDescent="0.25">
      <c r="D403" s="13"/>
    </row>
    <row r="404" spans="4:4" x14ac:dyDescent="0.25">
      <c r="D404" s="13"/>
    </row>
  </sheetData>
  <phoneticPr fontId="5" type="noConversion"/>
  <pageMargins left="0.7" right="0.7" top="0.78740157499999996" bottom="0.78740157499999996"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36"/>
  <sheetViews>
    <sheetView zoomScaleNormal="100" workbookViewId="0">
      <pane xSplit="4" ySplit="1" topLeftCell="E2" activePane="bottomRight" state="frozen"/>
      <selection pane="topRight" activeCell="F1" sqref="F1"/>
      <selection pane="bottomLeft" activeCell="A2" sqref="A2"/>
      <selection pane="bottomRight" activeCell="C2" sqref="C2:C2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50</v>
      </c>
      <c r="D2" s="16" t="s">
        <v>479</v>
      </c>
      <c r="F2">
        <v>9.7799999999999994</v>
      </c>
      <c r="G2" t="s">
        <v>44</v>
      </c>
      <c r="H2">
        <v>0</v>
      </c>
      <c r="I2">
        <v>13.4</v>
      </c>
      <c r="L2">
        <f>Constants!$B$2</f>
        <v>2.8</v>
      </c>
      <c r="M2" t="str">
        <f t="shared" ref="M2:M25" si="0">IF(N2&gt;0,G2,"N/A")</f>
        <v>N/A</v>
      </c>
      <c r="N2">
        <f>P2*Constants!$E$2</f>
        <v>0</v>
      </c>
      <c r="P2">
        <f>H2</f>
        <v>0</v>
      </c>
      <c r="Q2">
        <f>P2*Constants!$B$3</f>
        <v>0</v>
      </c>
      <c r="R2">
        <f>IF(Q2-N2&lt;=0, 0, Q2-N2)</f>
        <v>0</v>
      </c>
      <c r="S2">
        <f>I2-P2</f>
        <v>13.4</v>
      </c>
      <c r="T2">
        <f>S2*Constants!$B$2</f>
        <v>37.519999999999996</v>
      </c>
      <c r="V2">
        <f>IF(B2="E",1,0)</f>
        <v>0</v>
      </c>
      <c r="W2">
        <f>IF(B2=10,1,0)</f>
        <v>0</v>
      </c>
      <c r="AA2" s="8"/>
      <c r="AJ2" s="4"/>
    </row>
    <row r="3" spans="1:40" x14ac:dyDescent="0.25">
      <c r="A3">
        <v>2</v>
      </c>
      <c r="B3">
        <v>7</v>
      </c>
      <c r="C3" t="s">
        <v>45</v>
      </c>
      <c r="D3" s="16" t="s">
        <v>480</v>
      </c>
      <c r="F3">
        <v>18.97</v>
      </c>
      <c r="G3" t="s">
        <v>44</v>
      </c>
      <c r="H3">
        <v>0</v>
      </c>
      <c r="I3">
        <v>20.85</v>
      </c>
      <c r="L3">
        <f>Constants!$B$2</f>
        <v>2.8</v>
      </c>
      <c r="M3" t="str">
        <f t="shared" si="0"/>
        <v>N/A</v>
      </c>
      <c r="N3">
        <f>P3*Constants!$E$2</f>
        <v>0</v>
      </c>
      <c r="P3">
        <f t="shared" ref="P3:P25" si="1">H3</f>
        <v>0</v>
      </c>
      <c r="Q3">
        <f>P3*Constants!$B$3</f>
        <v>0</v>
      </c>
      <c r="R3">
        <f>IF(Q3-N3&lt;=0, 0, Q3-N3)</f>
        <v>0</v>
      </c>
      <c r="S3">
        <f t="shared" ref="S3:S25" si="2">I3-P3</f>
        <v>20.85</v>
      </c>
      <c r="T3">
        <f>S3*Constants!$B$2</f>
        <v>58.38</v>
      </c>
      <c r="V3">
        <f t="shared" ref="V3:V25" si="3">IF(B3="E",1,0)</f>
        <v>0</v>
      </c>
      <c r="W3">
        <f t="shared" ref="W3:W25" si="4">IF(B3=10,1,0)</f>
        <v>0</v>
      </c>
      <c r="AA3" s="8"/>
      <c r="AJ3" s="4"/>
    </row>
    <row r="4" spans="1:40" x14ac:dyDescent="0.25">
      <c r="A4">
        <v>3</v>
      </c>
      <c r="B4">
        <v>7</v>
      </c>
      <c r="C4" t="s">
        <v>824</v>
      </c>
      <c r="D4" s="16" t="s">
        <v>481</v>
      </c>
      <c r="F4">
        <v>31.73</v>
      </c>
      <c r="G4">
        <v>270</v>
      </c>
      <c r="H4">
        <v>2.4</v>
      </c>
      <c r="I4">
        <f>2*1.2*(4+6)</f>
        <v>24</v>
      </c>
      <c r="L4">
        <f>Constants!$B$2</f>
        <v>2.8</v>
      </c>
      <c r="M4">
        <f t="shared" si="0"/>
        <v>270</v>
      </c>
      <c r="N4">
        <f>P4*Constants!$E$2</f>
        <v>4.08</v>
      </c>
      <c r="P4">
        <f t="shared" si="1"/>
        <v>2.4</v>
      </c>
      <c r="Q4">
        <f>P4*Constants!$B$3</f>
        <v>10.079999999999998</v>
      </c>
      <c r="R4">
        <f t="shared" ref="R4:R25" si="5">IF(Q4-N4&lt;=0, 0, Q4-N4)</f>
        <v>5.9999999999999982</v>
      </c>
      <c r="S4">
        <f t="shared" si="2"/>
        <v>21.6</v>
      </c>
      <c r="T4">
        <f>S4*Constants!$B$2</f>
        <v>60.48</v>
      </c>
      <c r="V4">
        <f t="shared" si="3"/>
        <v>0</v>
      </c>
      <c r="W4">
        <f t="shared" si="4"/>
        <v>0</v>
      </c>
      <c r="AA4" s="8"/>
      <c r="AJ4" s="4"/>
    </row>
    <row r="5" spans="1:40" x14ac:dyDescent="0.25">
      <c r="A5">
        <v>4</v>
      </c>
      <c r="B5">
        <v>7</v>
      </c>
      <c r="C5" t="s">
        <v>824</v>
      </c>
      <c r="D5" s="16" t="s">
        <v>482</v>
      </c>
      <c r="F5">
        <v>32.07</v>
      </c>
      <c r="G5">
        <v>270</v>
      </c>
      <c r="H5">
        <v>4.8</v>
      </c>
      <c r="I5">
        <f>2*1.2*(4+6)</f>
        <v>24</v>
      </c>
      <c r="L5">
        <f>Constants!$B$2</f>
        <v>2.8</v>
      </c>
      <c r="M5">
        <f t="shared" ref="M5" si="6">IF(N5&gt;0,G5,"N/A")</f>
        <v>270</v>
      </c>
      <c r="N5">
        <f>P5*Constants!$E$2</f>
        <v>8.16</v>
      </c>
      <c r="P5">
        <f t="shared" ref="P5" si="7">H5</f>
        <v>4.8</v>
      </c>
      <c r="Q5">
        <f>P5*Constants!$B$3</f>
        <v>20.159999999999997</v>
      </c>
      <c r="R5">
        <f t="shared" si="5"/>
        <v>11.999999999999996</v>
      </c>
      <c r="S5">
        <f t="shared" ref="S5" si="8">I5-P5</f>
        <v>19.2</v>
      </c>
      <c r="T5">
        <f>S5*Constants!$B$2</f>
        <v>53.76</v>
      </c>
      <c r="V5">
        <f t="shared" ref="V5" si="9">IF(B5="E",1,0)</f>
        <v>0</v>
      </c>
      <c r="W5">
        <f t="shared" ref="W5" si="10">IF(B5=10,1,0)</f>
        <v>0</v>
      </c>
      <c r="AA5" s="8"/>
      <c r="AJ5" s="4"/>
    </row>
    <row r="6" spans="1:40" x14ac:dyDescent="0.25">
      <c r="A6">
        <v>5</v>
      </c>
      <c r="B6">
        <v>7</v>
      </c>
      <c r="C6" t="s">
        <v>62</v>
      </c>
      <c r="D6" s="16" t="s">
        <v>483</v>
      </c>
      <c r="F6">
        <v>29.88</v>
      </c>
      <c r="G6" t="s">
        <v>44</v>
      </c>
      <c r="H6">
        <v>0</v>
      </c>
      <c r="I6">
        <f>2*1.2*(3+8)</f>
        <v>26.4</v>
      </c>
      <c r="L6">
        <f>Constants!$B$2</f>
        <v>2.8</v>
      </c>
      <c r="M6" t="str">
        <f t="shared" si="0"/>
        <v>N/A</v>
      </c>
      <c r="N6">
        <f>P6*Constants!$E$2</f>
        <v>0</v>
      </c>
      <c r="P6">
        <f t="shared" si="1"/>
        <v>0</v>
      </c>
      <c r="Q6">
        <f>P6*Constants!$B$3</f>
        <v>0</v>
      </c>
      <c r="R6">
        <f t="shared" si="5"/>
        <v>0</v>
      </c>
      <c r="S6">
        <f t="shared" si="2"/>
        <v>26.4</v>
      </c>
      <c r="T6">
        <f>S6*Constants!$B$2</f>
        <v>73.919999999999987</v>
      </c>
      <c r="V6">
        <f t="shared" si="3"/>
        <v>0</v>
      </c>
      <c r="W6">
        <f t="shared" si="4"/>
        <v>0</v>
      </c>
      <c r="AA6" s="8"/>
      <c r="AJ6" s="4"/>
    </row>
    <row r="7" spans="1:40" x14ac:dyDescent="0.25">
      <c r="A7">
        <v>6</v>
      </c>
      <c r="B7">
        <v>7</v>
      </c>
      <c r="C7" t="s">
        <v>45</v>
      </c>
      <c r="D7" s="16" t="s">
        <v>484</v>
      </c>
      <c r="F7">
        <v>14</v>
      </c>
      <c r="G7">
        <v>270</v>
      </c>
      <c r="H7">
        <v>3.6</v>
      </c>
      <c r="I7">
        <f>2*1.2*(3+4)</f>
        <v>16.8</v>
      </c>
      <c r="L7">
        <f>Constants!$B$2</f>
        <v>2.8</v>
      </c>
      <c r="M7">
        <f t="shared" si="0"/>
        <v>270</v>
      </c>
      <c r="N7">
        <f>P7*Constants!$E$2</f>
        <v>6.12</v>
      </c>
      <c r="P7">
        <f t="shared" si="1"/>
        <v>3.6</v>
      </c>
      <c r="Q7">
        <f>P7*Constants!$B$3</f>
        <v>15.119999999999997</v>
      </c>
      <c r="R7">
        <f t="shared" si="5"/>
        <v>8.9999999999999964</v>
      </c>
      <c r="S7">
        <f t="shared" si="2"/>
        <v>13.200000000000001</v>
      </c>
      <c r="T7">
        <f>S7*Constants!$B$2</f>
        <v>36.96</v>
      </c>
      <c r="V7">
        <f t="shared" si="3"/>
        <v>0</v>
      </c>
      <c r="W7">
        <f t="shared" si="4"/>
        <v>0</v>
      </c>
      <c r="AA7" s="8"/>
      <c r="AJ7" s="4"/>
    </row>
    <row r="8" spans="1:40" x14ac:dyDescent="0.25">
      <c r="A8">
        <v>7</v>
      </c>
      <c r="B8">
        <v>7</v>
      </c>
      <c r="C8" t="s">
        <v>59</v>
      </c>
      <c r="D8" s="16" t="s">
        <v>485</v>
      </c>
      <c r="E8" s="16"/>
      <c r="F8">
        <v>23</v>
      </c>
      <c r="G8">
        <v>270</v>
      </c>
      <c r="H8">
        <f>5*1.2</f>
        <v>6</v>
      </c>
      <c r="I8">
        <f>2*1.2*(5+3.3)</f>
        <v>19.920000000000002</v>
      </c>
      <c r="L8">
        <f>Constants!$B$2</f>
        <v>2.8</v>
      </c>
      <c r="M8">
        <f t="shared" si="0"/>
        <v>270</v>
      </c>
      <c r="N8">
        <f>P8*Constants!$E$2</f>
        <v>10.199999999999999</v>
      </c>
      <c r="P8">
        <f t="shared" si="1"/>
        <v>6</v>
      </c>
      <c r="Q8">
        <f>P8*Constants!$B$3</f>
        <v>25.199999999999996</v>
      </c>
      <c r="R8">
        <f t="shared" si="5"/>
        <v>14.999999999999996</v>
      </c>
      <c r="S8">
        <f t="shared" si="2"/>
        <v>13.920000000000002</v>
      </c>
      <c r="T8">
        <f>S8*Constants!$B$2</f>
        <v>38.975999999999999</v>
      </c>
      <c r="V8">
        <f t="shared" si="3"/>
        <v>0</v>
      </c>
      <c r="W8">
        <f t="shared" si="4"/>
        <v>0</v>
      </c>
      <c r="AA8" s="8"/>
      <c r="AJ8" s="4"/>
    </row>
    <row r="9" spans="1:40" x14ac:dyDescent="0.25">
      <c r="A9">
        <v>8</v>
      </c>
      <c r="B9">
        <v>7</v>
      </c>
      <c r="C9" t="s">
        <v>824</v>
      </c>
      <c r="D9" s="16" t="s">
        <v>486</v>
      </c>
      <c r="F9">
        <v>32.07</v>
      </c>
      <c r="G9">
        <v>270</v>
      </c>
      <c r="H9">
        <v>4.8</v>
      </c>
      <c r="I9">
        <f>2*1.2*(4+6)</f>
        <v>24</v>
      </c>
      <c r="L9">
        <f>Constants!$B$2</f>
        <v>2.8</v>
      </c>
      <c r="M9">
        <f t="shared" si="0"/>
        <v>270</v>
      </c>
      <c r="N9">
        <f>P9*Constants!$E$2</f>
        <v>8.16</v>
      </c>
      <c r="P9">
        <f t="shared" si="1"/>
        <v>4.8</v>
      </c>
      <c r="Q9">
        <f>P9*Constants!$B$3</f>
        <v>20.159999999999997</v>
      </c>
      <c r="R9">
        <f t="shared" si="5"/>
        <v>11.999999999999996</v>
      </c>
      <c r="S9">
        <f t="shared" si="2"/>
        <v>19.2</v>
      </c>
      <c r="T9">
        <f>S9*Constants!$B$2</f>
        <v>53.76</v>
      </c>
      <c r="V9">
        <f t="shared" si="3"/>
        <v>0</v>
      </c>
      <c r="W9">
        <f t="shared" si="4"/>
        <v>0</v>
      </c>
      <c r="AA9" s="8"/>
      <c r="AJ9" s="4"/>
    </row>
    <row r="10" spans="1:40" x14ac:dyDescent="0.25">
      <c r="A10">
        <v>9</v>
      </c>
      <c r="B10">
        <v>7</v>
      </c>
      <c r="C10" t="s">
        <v>824</v>
      </c>
      <c r="D10" s="16" t="s">
        <v>487</v>
      </c>
      <c r="F10">
        <v>32.07</v>
      </c>
      <c r="G10">
        <v>270</v>
      </c>
      <c r="H10">
        <v>4.8</v>
      </c>
      <c r="I10">
        <f>2*1.2*(4+6)</f>
        <v>24</v>
      </c>
      <c r="L10">
        <f>Constants!$B$2</f>
        <v>2.8</v>
      </c>
      <c r="M10">
        <f t="shared" si="0"/>
        <v>270</v>
      </c>
      <c r="N10">
        <f>P10*Constants!$E$2</f>
        <v>8.16</v>
      </c>
      <c r="P10">
        <f t="shared" si="1"/>
        <v>4.8</v>
      </c>
      <c r="Q10">
        <f>P10*Constants!$B$3</f>
        <v>20.159999999999997</v>
      </c>
      <c r="R10">
        <f t="shared" si="5"/>
        <v>11.999999999999996</v>
      </c>
      <c r="S10">
        <f t="shared" si="2"/>
        <v>19.2</v>
      </c>
      <c r="T10">
        <f>S10*Constants!$B$2</f>
        <v>53.76</v>
      </c>
      <c r="V10">
        <f t="shared" si="3"/>
        <v>0</v>
      </c>
      <c r="W10">
        <f t="shared" si="4"/>
        <v>0</v>
      </c>
      <c r="AA10" s="8"/>
      <c r="AJ10" s="4"/>
    </row>
    <row r="11" spans="1:40" x14ac:dyDescent="0.25">
      <c r="A11">
        <v>10</v>
      </c>
      <c r="B11">
        <v>7</v>
      </c>
      <c r="C11" t="s">
        <v>824</v>
      </c>
      <c r="D11" s="16" t="s">
        <v>488</v>
      </c>
      <c r="F11">
        <v>32.24</v>
      </c>
      <c r="G11">
        <v>270</v>
      </c>
      <c r="H11">
        <v>4.8</v>
      </c>
      <c r="I11">
        <f>2*1.2*(4+6)</f>
        <v>24</v>
      </c>
      <c r="L11">
        <f>Constants!$B$2</f>
        <v>2.8</v>
      </c>
      <c r="M11">
        <f>IF(N11&gt;0,G11,"N/A")</f>
        <v>270</v>
      </c>
      <c r="N11">
        <f>P11*Constants!$E$2</f>
        <v>8.16</v>
      </c>
      <c r="P11">
        <f>H11</f>
        <v>4.8</v>
      </c>
      <c r="Q11">
        <f>P11*Constants!$B$3</f>
        <v>20.159999999999997</v>
      </c>
      <c r="R11">
        <f t="shared" si="5"/>
        <v>11.999999999999996</v>
      </c>
      <c r="S11">
        <f>I11-P11</f>
        <v>19.2</v>
      </c>
      <c r="T11">
        <f>S11*Constants!$B$2</f>
        <v>53.76</v>
      </c>
      <c r="V11">
        <f t="shared" si="3"/>
        <v>0</v>
      </c>
      <c r="W11">
        <f t="shared" si="4"/>
        <v>0</v>
      </c>
      <c r="AA11" s="8"/>
      <c r="AJ11" s="4"/>
    </row>
    <row r="12" spans="1:40" x14ac:dyDescent="0.25">
      <c r="A12">
        <v>11</v>
      </c>
      <c r="B12">
        <v>7</v>
      </c>
      <c r="C12" t="s">
        <v>824</v>
      </c>
      <c r="D12" s="16" t="s">
        <v>489</v>
      </c>
      <c r="F12">
        <v>32.24</v>
      </c>
      <c r="G12">
        <v>90</v>
      </c>
      <c r="H12">
        <v>4.8</v>
      </c>
      <c r="I12">
        <f>2*1.2*(4+6)</f>
        <v>24</v>
      </c>
      <c r="L12">
        <f>Constants!$B$2</f>
        <v>2.8</v>
      </c>
      <c r="M12">
        <f t="shared" si="0"/>
        <v>90</v>
      </c>
      <c r="N12">
        <f>P12*Constants!$E$2</f>
        <v>8.16</v>
      </c>
      <c r="P12">
        <f t="shared" si="1"/>
        <v>4.8</v>
      </c>
      <c r="Q12">
        <f>P12*Constants!$B$3</f>
        <v>20.159999999999997</v>
      </c>
      <c r="R12">
        <f t="shared" si="5"/>
        <v>11.999999999999996</v>
      </c>
      <c r="S12">
        <f t="shared" si="2"/>
        <v>19.2</v>
      </c>
      <c r="T12">
        <f>S12*Constants!$B$2</f>
        <v>53.76</v>
      </c>
      <c r="V12">
        <f t="shared" si="3"/>
        <v>0</v>
      </c>
      <c r="W12">
        <f t="shared" si="4"/>
        <v>0</v>
      </c>
      <c r="AA12" s="8"/>
      <c r="AJ12" s="4"/>
    </row>
    <row r="13" spans="1:40" x14ac:dyDescent="0.25">
      <c r="A13">
        <v>12</v>
      </c>
      <c r="B13">
        <v>7</v>
      </c>
      <c r="C13" t="s">
        <v>824</v>
      </c>
      <c r="D13" s="16" t="s">
        <v>490</v>
      </c>
      <c r="F13">
        <v>32.07</v>
      </c>
      <c r="G13">
        <v>90</v>
      </c>
      <c r="H13">
        <v>4.8</v>
      </c>
      <c r="I13">
        <f>2*1.2*(4+6)</f>
        <v>24</v>
      </c>
      <c r="L13">
        <f>Constants!$B$2</f>
        <v>2.8</v>
      </c>
      <c r="M13">
        <f t="shared" si="0"/>
        <v>90</v>
      </c>
      <c r="N13">
        <f>P13*Constants!$E$2</f>
        <v>8.16</v>
      </c>
      <c r="P13">
        <f t="shared" si="1"/>
        <v>4.8</v>
      </c>
      <c r="Q13">
        <f>P13*Constants!$B$3</f>
        <v>20.159999999999997</v>
      </c>
      <c r="R13">
        <f t="shared" si="5"/>
        <v>11.999999999999996</v>
      </c>
      <c r="S13">
        <f t="shared" si="2"/>
        <v>19.2</v>
      </c>
      <c r="T13">
        <f>S13*Constants!$B$2</f>
        <v>53.76</v>
      </c>
      <c r="V13">
        <f t="shared" si="3"/>
        <v>0</v>
      </c>
      <c r="W13">
        <f t="shared" si="4"/>
        <v>0</v>
      </c>
      <c r="AA13" s="8"/>
      <c r="AJ13" s="4"/>
    </row>
    <row r="14" spans="1:40" x14ac:dyDescent="0.25">
      <c r="A14">
        <v>13</v>
      </c>
      <c r="B14">
        <v>7</v>
      </c>
      <c r="C14" t="s">
        <v>62</v>
      </c>
      <c r="D14" s="16" t="s">
        <v>491</v>
      </c>
      <c r="F14">
        <v>20.77</v>
      </c>
      <c r="G14">
        <v>0</v>
      </c>
      <c r="H14">
        <v>4</v>
      </c>
      <c r="I14">
        <f>2*(4+5.3)</f>
        <v>18.600000000000001</v>
      </c>
      <c r="L14">
        <f>Constants!$B$2</f>
        <v>2.8</v>
      </c>
      <c r="M14">
        <f t="shared" si="0"/>
        <v>0</v>
      </c>
      <c r="N14">
        <f>P14*Constants!$E$2</f>
        <v>6.8</v>
      </c>
      <c r="P14">
        <f t="shared" si="1"/>
        <v>4</v>
      </c>
      <c r="Q14">
        <f>P14*Constants!$B$3</f>
        <v>16.799999999999997</v>
      </c>
      <c r="R14">
        <f t="shared" si="5"/>
        <v>9.9999999999999964</v>
      </c>
      <c r="S14">
        <f t="shared" si="2"/>
        <v>14.600000000000001</v>
      </c>
      <c r="T14">
        <f>S14*Constants!$B$2</f>
        <v>40.880000000000003</v>
      </c>
      <c r="V14">
        <f t="shared" si="3"/>
        <v>0</v>
      </c>
      <c r="W14">
        <f t="shared" si="4"/>
        <v>0</v>
      </c>
      <c r="AA14" s="8"/>
      <c r="AJ14" s="4"/>
    </row>
    <row r="15" spans="1:40" x14ac:dyDescent="0.25">
      <c r="A15">
        <v>14</v>
      </c>
      <c r="B15">
        <v>7</v>
      </c>
      <c r="C15" t="s">
        <v>64</v>
      </c>
      <c r="D15" s="16" t="s">
        <v>492</v>
      </c>
      <c r="F15">
        <v>3.95</v>
      </c>
      <c r="G15">
        <v>90</v>
      </c>
      <c r="H15">
        <v>1.4</v>
      </c>
      <c r="I15">
        <f>2*(3.5+1.4)</f>
        <v>9.8000000000000007</v>
      </c>
      <c r="L15">
        <f>Constants!$B$2</f>
        <v>2.8</v>
      </c>
      <c r="M15">
        <f t="shared" si="0"/>
        <v>90</v>
      </c>
      <c r="N15">
        <f>P15*Constants!$E$2</f>
        <v>2.38</v>
      </c>
      <c r="P15">
        <f t="shared" si="1"/>
        <v>1.4</v>
      </c>
      <c r="Q15">
        <f>P15*Constants!$B$3</f>
        <v>5.879999999999999</v>
      </c>
      <c r="R15">
        <f t="shared" si="5"/>
        <v>3.4999999999999991</v>
      </c>
      <c r="S15">
        <f t="shared" si="2"/>
        <v>8.4</v>
      </c>
      <c r="T15">
        <f>S15*Constants!$B$2</f>
        <v>23.52</v>
      </c>
      <c r="V15">
        <f t="shared" si="3"/>
        <v>0</v>
      </c>
      <c r="W15">
        <f t="shared" si="4"/>
        <v>0</v>
      </c>
      <c r="AA15" s="8"/>
      <c r="AJ15" s="4"/>
    </row>
    <row r="16" spans="1:40" x14ac:dyDescent="0.25">
      <c r="A16">
        <v>15</v>
      </c>
      <c r="B16">
        <v>7</v>
      </c>
      <c r="C16" t="s">
        <v>64</v>
      </c>
      <c r="D16" s="16" t="s">
        <v>493</v>
      </c>
      <c r="F16">
        <v>3.95</v>
      </c>
      <c r="G16">
        <v>90</v>
      </c>
      <c r="H16">
        <v>1.4</v>
      </c>
      <c r="I16">
        <f>2*(3.5+1.4)</f>
        <v>9.8000000000000007</v>
      </c>
      <c r="L16">
        <f>Constants!$B$2</f>
        <v>2.8</v>
      </c>
      <c r="M16">
        <f t="shared" si="0"/>
        <v>90</v>
      </c>
      <c r="N16">
        <f>P16*Constants!$E$2</f>
        <v>2.38</v>
      </c>
      <c r="P16">
        <f t="shared" si="1"/>
        <v>1.4</v>
      </c>
      <c r="Q16">
        <f>P16*Constants!$B$3</f>
        <v>5.879999999999999</v>
      </c>
      <c r="R16">
        <f t="shared" si="5"/>
        <v>3.4999999999999991</v>
      </c>
      <c r="S16">
        <f t="shared" si="2"/>
        <v>8.4</v>
      </c>
      <c r="T16">
        <f>S16*Constants!$B$2</f>
        <v>23.52</v>
      </c>
      <c r="V16">
        <f t="shared" si="3"/>
        <v>0</v>
      </c>
      <c r="W16">
        <f t="shared" si="4"/>
        <v>0</v>
      </c>
      <c r="AA16" s="8"/>
      <c r="AJ16" s="4"/>
    </row>
    <row r="17" spans="1:36" x14ac:dyDescent="0.25">
      <c r="A17">
        <v>16</v>
      </c>
      <c r="B17">
        <v>7</v>
      </c>
      <c r="C17" t="s">
        <v>62</v>
      </c>
      <c r="D17" s="16" t="s">
        <v>494</v>
      </c>
      <c r="F17">
        <v>137.19999999999999</v>
      </c>
      <c r="G17" t="s">
        <v>44</v>
      </c>
      <c r="H17">
        <v>0</v>
      </c>
      <c r="I17">
        <v>98.77</v>
      </c>
      <c r="L17">
        <f>Constants!$B$2</f>
        <v>2.8</v>
      </c>
      <c r="M17" t="str">
        <f t="shared" si="0"/>
        <v>N/A</v>
      </c>
      <c r="N17">
        <f>P17*Constants!$E$2</f>
        <v>0</v>
      </c>
      <c r="P17">
        <f t="shared" si="1"/>
        <v>0</v>
      </c>
      <c r="Q17">
        <f>P17*Constants!$B$3</f>
        <v>0</v>
      </c>
      <c r="R17">
        <f t="shared" si="5"/>
        <v>0</v>
      </c>
      <c r="S17">
        <f t="shared" si="2"/>
        <v>98.77</v>
      </c>
      <c r="T17">
        <f>S17*Constants!$B$2</f>
        <v>276.55599999999998</v>
      </c>
      <c r="V17">
        <f t="shared" si="3"/>
        <v>0</v>
      </c>
      <c r="W17">
        <f t="shared" si="4"/>
        <v>0</v>
      </c>
      <c r="AA17" s="8"/>
      <c r="AJ17" s="4"/>
    </row>
    <row r="18" spans="1:36" x14ac:dyDescent="0.25">
      <c r="A18">
        <v>17</v>
      </c>
      <c r="B18">
        <v>7</v>
      </c>
      <c r="C18" t="s">
        <v>824</v>
      </c>
      <c r="D18" s="16" t="s">
        <v>495</v>
      </c>
      <c r="E18" s="16"/>
      <c r="F18">
        <v>32.049999999999997</v>
      </c>
      <c r="G18">
        <v>90</v>
      </c>
      <c r="H18">
        <v>4.8</v>
      </c>
      <c r="I18">
        <f>2*1.2*(4+6)</f>
        <v>24</v>
      </c>
      <c r="L18">
        <f>Constants!$B$2</f>
        <v>2.8</v>
      </c>
      <c r="M18">
        <f t="shared" si="0"/>
        <v>90</v>
      </c>
      <c r="N18">
        <f>P18*Constants!$E$2</f>
        <v>8.16</v>
      </c>
      <c r="P18">
        <f t="shared" si="1"/>
        <v>4.8</v>
      </c>
      <c r="Q18">
        <f>P18*Constants!$B$3</f>
        <v>20.159999999999997</v>
      </c>
      <c r="R18">
        <f t="shared" si="5"/>
        <v>11.999999999999996</v>
      </c>
      <c r="S18">
        <f t="shared" si="2"/>
        <v>19.2</v>
      </c>
      <c r="T18">
        <f>S18*Constants!$B$2</f>
        <v>53.76</v>
      </c>
      <c r="V18">
        <f t="shared" si="3"/>
        <v>0</v>
      </c>
      <c r="W18">
        <f t="shared" si="4"/>
        <v>0</v>
      </c>
      <c r="AA18" s="8"/>
      <c r="AJ18" s="4"/>
    </row>
    <row r="19" spans="1:36" x14ac:dyDescent="0.25">
      <c r="A19">
        <v>18</v>
      </c>
      <c r="B19">
        <v>7</v>
      </c>
      <c r="C19" t="s">
        <v>55</v>
      </c>
      <c r="D19" s="16" t="s">
        <v>496</v>
      </c>
      <c r="E19" s="16"/>
      <c r="F19">
        <v>14.01</v>
      </c>
      <c r="G19">
        <v>90</v>
      </c>
      <c r="H19">
        <v>2.4</v>
      </c>
      <c r="I19">
        <f>2*1.2*(2+5.5)</f>
        <v>18</v>
      </c>
      <c r="L19">
        <f>Constants!$B$2</f>
        <v>2.8</v>
      </c>
      <c r="M19">
        <f t="shared" si="0"/>
        <v>90</v>
      </c>
      <c r="N19">
        <f>P19*Constants!$E$2</f>
        <v>4.08</v>
      </c>
      <c r="P19">
        <f t="shared" si="1"/>
        <v>2.4</v>
      </c>
      <c r="Q19">
        <f>P19*Constants!$B$3</f>
        <v>10.079999999999998</v>
      </c>
      <c r="R19">
        <f t="shared" si="5"/>
        <v>5.9999999999999982</v>
      </c>
      <c r="S19">
        <f t="shared" si="2"/>
        <v>15.6</v>
      </c>
      <c r="T19">
        <f>S19*Constants!$B$2</f>
        <v>43.68</v>
      </c>
      <c r="V19">
        <f t="shared" si="3"/>
        <v>0</v>
      </c>
      <c r="W19">
        <f t="shared" si="4"/>
        <v>0</v>
      </c>
      <c r="AA19" s="8"/>
      <c r="AJ19" s="4"/>
    </row>
    <row r="20" spans="1:36" x14ac:dyDescent="0.25">
      <c r="A20">
        <v>19</v>
      </c>
      <c r="B20">
        <v>7</v>
      </c>
      <c r="C20" t="s">
        <v>54</v>
      </c>
      <c r="D20" s="16" t="s">
        <v>497</v>
      </c>
      <c r="E20" s="16"/>
      <c r="F20">
        <v>13.85</v>
      </c>
      <c r="G20">
        <v>90</v>
      </c>
      <c r="H20">
        <v>2.4</v>
      </c>
      <c r="I20">
        <f>2*1.2*(2+5.5)</f>
        <v>18</v>
      </c>
      <c r="L20">
        <f>Constants!$B$2</f>
        <v>2.8</v>
      </c>
      <c r="M20">
        <f t="shared" si="0"/>
        <v>90</v>
      </c>
      <c r="N20">
        <f>P20*Constants!$E$2</f>
        <v>4.08</v>
      </c>
      <c r="P20">
        <f t="shared" si="1"/>
        <v>2.4</v>
      </c>
      <c r="Q20">
        <f>P20*Constants!$B$3</f>
        <v>10.079999999999998</v>
      </c>
      <c r="R20">
        <f t="shared" si="5"/>
        <v>5.9999999999999982</v>
      </c>
      <c r="S20">
        <f t="shared" si="2"/>
        <v>15.6</v>
      </c>
      <c r="T20">
        <f>S20*Constants!$B$2</f>
        <v>43.68</v>
      </c>
      <c r="V20">
        <f t="shared" si="3"/>
        <v>0</v>
      </c>
      <c r="W20">
        <f t="shared" si="4"/>
        <v>0</v>
      </c>
      <c r="AA20" s="8"/>
      <c r="AJ20" s="4"/>
    </row>
    <row r="21" spans="1:36" x14ac:dyDescent="0.25">
      <c r="A21">
        <v>20</v>
      </c>
      <c r="B21">
        <v>7</v>
      </c>
      <c r="C21" t="s">
        <v>54</v>
      </c>
      <c r="D21" s="16" t="s">
        <v>498</v>
      </c>
      <c r="E21" s="16"/>
      <c r="F21">
        <v>14.17</v>
      </c>
      <c r="G21">
        <v>90</v>
      </c>
      <c r="H21">
        <v>2.4</v>
      </c>
      <c r="I21">
        <f>2*1.2*(2+5.5)</f>
        <v>18</v>
      </c>
      <c r="L21">
        <f>Constants!$B$2</f>
        <v>2.8</v>
      </c>
      <c r="M21">
        <f t="shared" si="0"/>
        <v>90</v>
      </c>
      <c r="N21">
        <f>P21*Constants!$E$2</f>
        <v>4.08</v>
      </c>
      <c r="P21">
        <f t="shared" si="1"/>
        <v>2.4</v>
      </c>
      <c r="Q21">
        <f>P21*Constants!$B$3</f>
        <v>10.079999999999998</v>
      </c>
      <c r="R21">
        <f t="shared" si="5"/>
        <v>5.9999999999999982</v>
      </c>
      <c r="S21">
        <f t="shared" si="2"/>
        <v>15.6</v>
      </c>
      <c r="T21">
        <f>S21*Constants!$B$2</f>
        <v>43.68</v>
      </c>
      <c r="V21">
        <f t="shared" si="3"/>
        <v>0</v>
      </c>
      <c r="W21">
        <f t="shared" si="4"/>
        <v>0</v>
      </c>
      <c r="AA21" s="8"/>
      <c r="AJ21" s="4"/>
    </row>
    <row r="22" spans="1:36" x14ac:dyDescent="0.25">
      <c r="A22">
        <v>21</v>
      </c>
      <c r="B22">
        <v>7</v>
      </c>
      <c r="C22" t="s">
        <v>50</v>
      </c>
      <c r="D22" s="16" t="s">
        <v>499</v>
      </c>
      <c r="E22" s="16"/>
      <c r="F22">
        <v>13.8</v>
      </c>
      <c r="G22">
        <v>90</v>
      </c>
      <c r="H22">
        <v>2.4</v>
      </c>
      <c r="I22">
        <f>2*1.2*(2+5.5)</f>
        <v>18</v>
      </c>
      <c r="L22">
        <f>Constants!$B$2</f>
        <v>2.8</v>
      </c>
      <c r="M22">
        <f t="shared" si="0"/>
        <v>90</v>
      </c>
      <c r="N22">
        <f>P22*Constants!$E$2</f>
        <v>4.08</v>
      </c>
      <c r="P22">
        <f t="shared" si="1"/>
        <v>2.4</v>
      </c>
      <c r="Q22">
        <f>P22*Constants!$B$3</f>
        <v>10.079999999999998</v>
      </c>
      <c r="R22">
        <f t="shared" si="5"/>
        <v>5.9999999999999982</v>
      </c>
      <c r="S22">
        <f t="shared" si="2"/>
        <v>15.6</v>
      </c>
      <c r="T22">
        <f>S22*Constants!$B$2</f>
        <v>43.68</v>
      </c>
      <c r="V22">
        <f t="shared" si="3"/>
        <v>0</v>
      </c>
      <c r="W22">
        <f t="shared" si="4"/>
        <v>0</v>
      </c>
      <c r="AA22" s="8"/>
      <c r="AJ22" s="4"/>
    </row>
    <row r="23" spans="1:36" x14ac:dyDescent="0.25">
      <c r="A23">
        <v>22</v>
      </c>
      <c r="B23">
        <v>7</v>
      </c>
      <c r="C23" t="s">
        <v>824</v>
      </c>
      <c r="D23" s="16" t="s">
        <v>500</v>
      </c>
      <c r="E23" s="16"/>
      <c r="F23">
        <v>32.6</v>
      </c>
      <c r="G23">
        <v>90</v>
      </c>
      <c r="H23">
        <v>4.8</v>
      </c>
      <c r="I23">
        <f>2*1.2*(4+6)</f>
        <v>24</v>
      </c>
      <c r="L23">
        <f>Constants!$B$2</f>
        <v>2.8</v>
      </c>
      <c r="M23">
        <f t="shared" si="0"/>
        <v>90</v>
      </c>
      <c r="N23">
        <f>P23*Constants!$E$2</f>
        <v>8.16</v>
      </c>
      <c r="P23">
        <f t="shared" si="1"/>
        <v>4.8</v>
      </c>
      <c r="Q23">
        <f>P23*Constants!$B$3</f>
        <v>20.159999999999997</v>
      </c>
      <c r="R23">
        <f t="shared" si="5"/>
        <v>11.999999999999996</v>
      </c>
      <c r="S23">
        <f t="shared" si="2"/>
        <v>19.2</v>
      </c>
      <c r="T23">
        <f>S23*Constants!$B$2</f>
        <v>53.76</v>
      </c>
      <c r="V23">
        <f t="shared" si="3"/>
        <v>0</v>
      </c>
      <c r="W23">
        <f t="shared" si="4"/>
        <v>0</v>
      </c>
      <c r="AA23" s="8"/>
      <c r="AJ23" s="4"/>
    </row>
    <row r="24" spans="1:36" x14ac:dyDescent="0.25">
      <c r="A24">
        <v>23</v>
      </c>
      <c r="B24">
        <v>7</v>
      </c>
      <c r="C24" t="s">
        <v>824</v>
      </c>
      <c r="D24" s="16" t="s">
        <v>501</v>
      </c>
      <c r="F24">
        <v>31.73</v>
      </c>
      <c r="G24">
        <v>90</v>
      </c>
      <c r="H24">
        <v>4.8</v>
      </c>
      <c r="I24">
        <f>2*1.2*(4+6)</f>
        <v>24</v>
      </c>
      <c r="L24">
        <f>Constants!$B$2</f>
        <v>2.8</v>
      </c>
      <c r="M24">
        <f t="shared" si="0"/>
        <v>90</v>
      </c>
      <c r="N24">
        <f>P24*Constants!$E$2</f>
        <v>8.16</v>
      </c>
      <c r="P24">
        <f t="shared" si="1"/>
        <v>4.8</v>
      </c>
      <c r="Q24">
        <f>P24*Constants!$B$3</f>
        <v>20.159999999999997</v>
      </c>
      <c r="R24">
        <f t="shared" si="5"/>
        <v>11.999999999999996</v>
      </c>
      <c r="S24">
        <f t="shared" si="2"/>
        <v>19.2</v>
      </c>
      <c r="T24">
        <f>S24*Constants!$B$2</f>
        <v>53.76</v>
      </c>
      <c r="V24">
        <f t="shared" si="3"/>
        <v>0</v>
      </c>
      <c r="W24">
        <f t="shared" si="4"/>
        <v>0</v>
      </c>
      <c r="AA24" s="8"/>
      <c r="AJ24" s="4"/>
    </row>
    <row r="25" spans="1:36" x14ac:dyDescent="0.25">
      <c r="A25">
        <v>24</v>
      </c>
      <c r="B25">
        <v>7</v>
      </c>
      <c r="C25" t="s">
        <v>45</v>
      </c>
      <c r="D25" s="16" t="s">
        <v>502</v>
      </c>
      <c r="F25">
        <v>16.04</v>
      </c>
      <c r="G25" t="s">
        <v>44</v>
      </c>
      <c r="H25">
        <v>0</v>
      </c>
      <c r="I25">
        <v>16.2</v>
      </c>
      <c r="L25">
        <f>Constants!$B$2</f>
        <v>2.8</v>
      </c>
      <c r="M25" t="str">
        <f t="shared" si="0"/>
        <v>N/A</v>
      </c>
      <c r="N25">
        <f>P25*Constants!$E$2</f>
        <v>0</v>
      </c>
      <c r="P25">
        <f t="shared" si="1"/>
        <v>0</v>
      </c>
      <c r="Q25">
        <f>P25*Constants!$B$3</f>
        <v>0</v>
      </c>
      <c r="R25">
        <f t="shared" si="5"/>
        <v>0</v>
      </c>
      <c r="S25">
        <f t="shared" si="2"/>
        <v>16.2</v>
      </c>
      <c r="T25">
        <f>S25*Constants!$B$2</f>
        <v>45.359999999999992</v>
      </c>
      <c r="V25">
        <f t="shared" si="3"/>
        <v>0</v>
      </c>
      <c r="W25">
        <f t="shared" si="4"/>
        <v>0</v>
      </c>
      <c r="AA25" s="8"/>
      <c r="AJ25" s="4"/>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4"/>
    </row>
    <row r="428" spans="4:4" x14ac:dyDescent="0.25">
      <c r="D428" s="14"/>
    </row>
    <row r="429" spans="4:4" x14ac:dyDescent="0.25">
      <c r="D429" s="13"/>
    </row>
    <row r="430" spans="4:4" x14ac:dyDescent="0.25">
      <c r="D430" s="13"/>
    </row>
    <row r="431" spans="4:4" x14ac:dyDescent="0.25">
      <c r="D431" s="13"/>
    </row>
    <row r="432" spans="4:4" x14ac:dyDescent="0.25">
      <c r="D432" s="13"/>
    </row>
    <row r="433" spans="4:4" x14ac:dyDescent="0.25">
      <c r="D433" s="13"/>
    </row>
    <row r="434" spans="4:4" x14ac:dyDescent="0.25">
      <c r="D434" s="13"/>
    </row>
    <row r="435" spans="4:4" x14ac:dyDescent="0.25">
      <c r="D435" s="13"/>
    </row>
    <row r="436" spans="4:4" x14ac:dyDescent="0.25">
      <c r="D436" s="13"/>
    </row>
  </sheetData>
  <pageMargins left="0.7" right="0.7" top="0.78740157499999996" bottom="0.78740157499999996"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38"/>
  <sheetViews>
    <sheetView zoomScaleNormal="100" workbookViewId="0">
      <pane xSplit="4" ySplit="1" topLeftCell="H2" activePane="bottomRight" state="frozen"/>
      <selection pane="topRight" activeCell="F1" sqref="F1"/>
      <selection pane="bottomLeft" activeCell="A2" sqref="A2"/>
      <selection pane="bottomRight" activeCell="C25" sqref="C2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50</v>
      </c>
      <c r="D2" s="16" t="s">
        <v>521</v>
      </c>
      <c r="F2">
        <v>9.7799999999999994</v>
      </c>
      <c r="G2" t="s">
        <v>44</v>
      </c>
      <c r="H2">
        <v>0</v>
      </c>
      <c r="I2">
        <v>13.4</v>
      </c>
      <c r="L2">
        <f>Constants!$B$2</f>
        <v>2.8</v>
      </c>
      <c r="M2" t="str">
        <f t="shared" ref="M2:M27" si="0">IF(N2&gt;0,G2,"N/A")</f>
        <v>N/A</v>
      </c>
      <c r="N2">
        <f>P2*Constants!$E$2</f>
        <v>0</v>
      </c>
      <c r="P2">
        <f>H2</f>
        <v>0</v>
      </c>
      <c r="Q2">
        <f>P2*Constants!$B$3</f>
        <v>0</v>
      </c>
      <c r="R2">
        <f>IF(Q2-N2&lt;=0, 0, Q2-N2)</f>
        <v>0</v>
      </c>
      <c r="S2">
        <f>I2-P2</f>
        <v>13.4</v>
      </c>
      <c r="T2">
        <f>S2*Constants!$B$2</f>
        <v>37.519999999999996</v>
      </c>
      <c r="V2">
        <f>IF(B2="E",1,0)</f>
        <v>0</v>
      </c>
      <c r="W2">
        <f>IF(B2=10,1,0)</f>
        <v>0</v>
      </c>
      <c r="AA2" s="8"/>
      <c r="AJ2" s="4"/>
    </row>
    <row r="3" spans="1:40" x14ac:dyDescent="0.25">
      <c r="A3">
        <v>2</v>
      </c>
      <c r="B3">
        <v>7</v>
      </c>
      <c r="C3" t="s">
        <v>45</v>
      </c>
      <c r="D3" s="16" t="s">
        <v>522</v>
      </c>
      <c r="F3">
        <v>18.97</v>
      </c>
      <c r="G3" t="s">
        <v>44</v>
      </c>
      <c r="H3">
        <v>0</v>
      </c>
      <c r="I3">
        <v>20.85</v>
      </c>
      <c r="L3">
        <f>Constants!$B$2</f>
        <v>2.8</v>
      </c>
      <c r="M3" t="str">
        <f t="shared" si="0"/>
        <v>N/A</v>
      </c>
      <c r="N3">
        <f>P3*Constants!$E$2</f>
        <v>0</v>
      </c>
      <c r="P3">
        <f t="shared" ref="P3:P27" si="1">H3</f>
        <v>0</v>
      </c>
      <c r="Q3">
        <f>P3*Constants!$B$3</f>
        <v>0</v>
      </c>
      <c r="R3">
        <f>IF(Q3-N3&lt;=0, 0, Q3-N3)</f>
        <v>0</v>
      </c>
      <c r="S3">
        <f t="shared" ref="S3:S27" si="2">I3-P3</f>
        <v>20.85</v>
      </c>
      <c r="T3">
        <f>S3*Constants!$B$2</f>
        <v>58.38</v>
      </c>
      <c r="V3">
        <f t="shared" ref="V3:V27" si="3">IF(B3="E",1,0)</f>
        <v>0</v>
      </c>
      <c r="W3">
        <f t="shared" ref="W3:W27" si="4">IF(B3=10,1,0)</f>
        <v>0</v>
      </c>
      <c r="AA3" s="8"/>
      <c r="AJ3" s="4"/>
    </row>
    <row r="4" spans="1:40" x14ac:dyDescent="0.25">
      <c r="A4">
        <v>3</v>
      </c>
      <c r="B4">
        <v>7</v>
      </c>
      <c r="C4" t="s">
        <v>824</v>
      </c>
      <c r="D4" s="16" t="s">
        <v>523</v>
      </c>
      <c r="F4">
        <v>20.95</v>
      </c>
      <c r="G4">
        <v>270</v>
      </c>
      <c r="H4">
        <v>2.4</v>
      </c>
      <c r="I4">
        <f>2*1.2*(4+6)</f>
        <v>24</v>
      </c>
      <c r="L4">
        <f>Constants!$B$2</f>
        <v>2.8</v>
      </c>
      <c r="M4">
        <f t="shared" si="0"/>
        <v>270</v>
      </c>
      <c r="N4">
        <f>P4*Constants!$E$2</f>
        <v>4.08</v>
      </c>
      <c r="P4">
        <f t="shared" si="1"/>
        <v>2.4</v>
      </c>
      <c r="Q4">
        <f>P4*Constants!$B$3</f>
        <v>10.079999999999998</v>
      </c>
      <c r="R4">
        <f t="shared" ref="R4:R27" si="5">IF(Q4-N4&lt;=0, 0, Q4-N4)</f>
        <v>5.9999999999999982</v>
      </c>
      <c r="S4">
        <f t="shared" si="2"/>
        <v>21.6</v>
      </c>
      <c r="T4">
        <f>S4*Constants!$B$2</f>
        <v>60.48</v>
      </c>
      <c r="V4">
        <f t="shared" si="3"/>
        <v>0</v>
      </c>
      <c r="W4">
        <f t="shared" si="4"/>
        <v>0</v>
      </c>
      <c r="AA4" s="8"/>
      <c r="AJ4" s="4"/>
    </row>
    <row r="5" spans="1:40" x14ac:dyDescent="0.25">
      <c r="A5">
        <v>4</v>
      </c>
      <c r="B5">
        <v>7</v>
      </c>
      <c r="C5" t="s">
        <v>62</v>
      </c>
      <c r="D5" s="16" t="s">
        <v>524</v>
      </c>
      <c r="E5" s="16" t="s">
        <v>523</v>
      </c>
      <c r="F5">
        <v>10.48</v>
      </c>
      <c r="G5" t="s">
        <v>44</v>
      </c>
      <c r="H5">
        <v>0</v>
      </c>
      <c r="I5">
        <f>2*1.2*(4+2)</f>
        <v>14.399999999999999</v>
      </c>
      <c r="L5">
        <f>Constants!$B$2</f>
        <v>2.8</v>
      </c>
      <c r="M5" t="str">
        <f t="shared" ref="M5" si="6">IF(N5&gt;0,G5,"N/A")</f>
        <v>N/A</v>
      </c>
      <c r="N5">
        <f>P5*Constants!$E$2</f>
        <v>0</v>
      </c>
      <c r="P5">
        <f>H5</f>
        <v>0</v>
      </c>
      <c r="Q5">
        <f>P5*Constants!$B$3</f>
        <v>0</v>
      </c>
      <c r="R5">
        <f>IF(Q5-N5&lt;=0, 0, Q5-N5)</f>
        <v>0</v>
      </c>
      <c r="S5">
        <f>I5-P5</f>
        <v>14.399999999999999</v>
      </c>
      <c r="T5">
        <f>S5*Constants!$B$2</f>
        <v>40.319999999999993</v>
      </c>
      <c r="V5">
        <f>IF(B5="E",1,0)</f>
        <v>0</v>
      </c>
      <c r="W5">
        <f>IF(B5=10,1,0)</f>
        <v>0</v>
      </c>
      <c r="AA5" s="8"/>
      <c r="AJ5" s="4"/>
    </row>
    <row r="6" spans="1:40" x14ac:dyDescent="0.25">
      <c r="A6">
        <v>5</v>
      </c>
      <c r="B6">
        <v>7</v>
      </c>
      <c r="C6" t="s">
        <v>824</v>
      </c>
      <c r="D6" s="16" t="s">
        <v>525</v>
      </c>
      <c r="F6">
        <v>32.07</v>
      </c>
      <c r="G6">
        <v>270</v>
      </c>
      <c r="H6">
        <v>4.8</v>
      </c>
      <c r="I6">
        <f>2*1.2*(4+6)</f>
        <v>24</v>
      </c>
      <c r="L6">
        <f>Constants!$B$2</f>
        <v>2.8</v>
      </c>
      <c r="M6">
        <f t="shared" si="0"/>
        <v>270</v>
      </c>
      <c r="N6">
        <f>P6*Constants!$E$2</f>
        <v>8.16</v>
      </c>
      <c r="P6">
        <f t="shared" si="1"/>
        <v>4.8</v>
      </c>
      <c r="Q6">
        <f>P6*Constants!$B$3</f>
        <v>20.159999999999997</v>
      </c>
      <c r="R6">
        <f t="shared" si="5"/>
        <v>11.999999999999996</v>
      </c>
      <c r="S6">
        <f t="shared" si="2"/>
        <v>19.2</v>
      </c>
      <c r="T6">
        <f>S6*Constants!$B$2</f>
        <v>53.76</v>
      </c>
      <c r="V6">
        <f t="shared" si="3"/>
        <v>0</v>
      </c>
      <c r="W6">
        <f t="shared" si="4"/>
        <v>0</v>
      </c>
      <c r="AA6" s="8"/>
      <c r="AJ6" s="4"/>
    </row>
    <row r="7" spans="1:40" x14ac:dyDescent="0.25">
      <c r="A7">
        <v>6</v>
      </c>
      <c r="B7">
        <v>7</v>
      </c>
      <c r="C7" t="s">
        <v>62</v>
      </c>
      <c r="D7" s="16" t="s">
        <v>526</v>
      </c>
      <c r="F7">
        <v>29.88</v>
      </c>
      <c r="G7" t="s">
        <v>44</v>
      </c>
      <c r="H7">
        <v>0</v>
      </c>
      <c r="I7">
        <f>2*1.2*(3+8)</f>
        <v>26.4</v>
      </c>
      <c r="L7">
        <f>Constants!$B$2</f>
        <v>2.8</v>
      </c>
      <c r="M7" t="str">
        <f t="shared" si="0"/>
        <v>N/A</v>
      </c>
      <c r="N7">
        <f>P7*Constants!$E$2</f>
        <v>0</v>
      </c>
      <c r="P7">
        <f t="shared" si="1"/>
        <v>0</v>
      </c>
      <c r="Q7">
        <f>P7*Constants!$B$3</f>
        <v>0</v>
      </c>
      <c r="R7">
        <f t="shared" si="5"/>
        <v>0</v>
      </c>
      <c r="S7">
        <f t="shared" si="2"/>
        <v>26.4</v>
      </c>
      <c r="T7">
        <f>S7*Constants!$B$2</f>
        <v>73.919999999999987</v>
      </c>
      <c r="V7">
        <f t="shared" si="3"/>
        <v>0</v>
      </c>
      <c r="W7">
        <f t="shared" si="4"/>
        <v>0</v>
      </c>
      <c r="AA7" s="8"/>
      <c r="AJ7" s="4"/>
    </row>
    <row r="8" spans="1:40" x14ac:dyDescent="0.25">
      <c r="A8">
        <v>7</v>
      </c>
      <c r="B8">
        <v>7</v>
      </c>
      <c r="C8" t="s">
        <v>45</v>
      </c>
      <c r="D8" s="16" t="s">
        <v>527</v>
      </c>
      <c r="F8">
        <v>14</v>
      </c>
      <c r="G8">
        <v>270</v>
      </c>
      <c r="H8">
        <v>3.6</v>
      </c>
      <c r="I8">
        <f>2*1.2*(3+4)</f>
        <v>16.8</v>
      </c>
      <c r="L8">
        <f>Constants!$B$2</f>
        <v>2.8</v>
      </c>
      <c r="M8">
        <f t="shared" si="0"/>
        <v>270</v>
      </c>
      <c r="N8">
        <f>P8*Constants!$E$2</f>
        <v>6.12</v>
      </c>
      <c r="P8">
        <f t="shared" si="1"/>
        <v>3.6</v>
      </c>
      <c r="Q8">
        <f>P8*Constants!$B$3</f>
        <v>15.119999999999997</v>
      </c>
      <c r="R8">
        <f t="shared" si="5"/>
        <v>8.9999999999999964</v>
      </c>
      <c r="S8">
        <f t="shared" si="2"/>
        <v>13.200000000000001</v>
      </c>
      <c r="T8">
        <f>S8*Constants!$B$2</f>
        <v>36.96</v>
      </c>
      <c r="V8">
        <f t="shared" si="3"/>
        <v>0</v>
      </c>
      <c r="W8">
        <f t="shared" si="4"/>
        <v>0</v>
      </c>
      <c r="AA8" s="8"/>
      <c r="AJ8" s="4"/>
    </row>
    <row r="9" spans="1:40" x14ac:dyDescent="0.25">
      <c r="A9">
        <v>8</v>
      </c>
      <c r="B9">
        <v>7</v>
      </c>
      <c r="C9" t="s">
        <v>59</v>
      </c>
      <c r="D9" s="16" t="s">
        <v>503</v>
      </c>
      <c r="E9" s="16"/>
      <c r="F9">
        <v>23</v>
      </c>
      <c r="G9">
        <v>270</v>
      </c>
      <c r="H9">
        <f>5*1.2</f>
        <v>6</v>
      </c>
      <c r="I9">
        <f>2*1.2*(5+3.3)</f>
        <v>19.920000000000002</v>
      </c>
      <c r="L9">
        <f>Constants!$B$2</f>
        <v>2.8</v>
      </c>
      <c r="M9">
        <f t="shared" si="0"/>
        <v>270</v>
      </c>
      <c r="N9">
        <f>P9*Constants!$E$2</f>
        <v>10.199999999999999</v>
      </c>
      <c r="P9">
        <f t="shared" si="1"/>
        <v>6</v>
      </c>
      <c r="Q9">
        <f>P9*Constants!$B$3</f>
        <v>25.199999999999996</v>
      </c>
      <c r="R9">
        <f t="shared" si="5"/>
        <v>14.999999999999996</v>
      </c>
      <c r="S9">
        <f t="shared" si="2"/>
        <v>13.920000000000002</v>
      </c>
      <c r="T9">
        <f>S9*Constants!$B$2</f>
        <v>38.975999999999999</v>
      </c>
      <c r="V9">
        <f t="shared" si="3"/>
        <v>0</v>
      </c>
      <c r="W9">
        <f t="shared" si="4"/>
        <v>0</v>
      </c>
      <c r="AA9" s="8"/>
      <c r="AJ9" s="4"/>
    </row>
    <row r="10" spans="1:40" x14ac:dyDescent="0.25">
      <c r="A10">
        <v>9</v>
      </c>
      <c r="B10">
        <v>7</v>
      </c>
      <c r="C10" t="s">
        <v>824</v>
      </c>
      <c r="D10" s="16" t="s">
        <v>504</v>
      </c>
      <c r="F10">
        <v>32.07</v>
      </c>
      <c r="G10">
        <v>270</v>
      </c>
      <c r="H10">
        <v>4.8</v>
      </c>
      <c r="I10">
        <f>2*1.2*(4+6)</f>
        <v>24</v>
      </c>
      <c r="L10">
        <f>Constants!$B$2</f>
        <v>2.8</v>
      </c>
      <c r="M10">
        <f t="shared" si="0"/>
        <v>270</v>
      </c>
      <c r="N10">
        <f>P10*Constants!$E$2</f>
        <v>8.16</v>
      </c>
      <c r="P10">
        <f t="shared" si="1"/>
        <v>4.8</v>
      </c>
      <c r="Q10">
        <f>P10*Constants!$B$3</f>
        <v>20.159999999999997</v>
      </c>
      <c r="R10">
        <f t="shared" si="5"/>
        <v>11.999999999999996</v>
      </c>
      <c r="S10">
        <f t="shared" si="2"/>
        <v>19.2</v>
      </c>
      <c r="T10">
        <f>S10*Constants!$B$2</f>
        <v>53.76</v>
      </c>
      <c r="V10">
        <f t="shared" si="3"/>
        <v>0</v>
      </c>
      <c r="W10">
        <f t="shared" si="4"/>
        <v>0</v>
      </c>
      <c r="AA10" s="8"/>
      <c r="AJ10" s="4"/>
    </row>
    <row r="11" spans="1:40" x14ac:dyDescent="0.25">
      <c r="A11">
        <v>10</v>
      </c>
      <c r="B11">
        <v>7</v>
      </c>
      <c r="C11" t="s">
        <v>824</v>
      </c>
      <c r="D11" s="16" t="s">
        <v>505</v>
      </c>
      <c r="F11">
        <v>32.07</v>
      </c>
      <c r="G11">
        <v>270</v>
      </c>
      <c r="H11">
        <v>4.8</v>
      </c>
      <c r="I11">
        <f>2*1.2*(4+6)</f>
        <v>24</v>
      </c>
      <c r="L11">
        <f>Constants!$B$2</f>
        <v>2.8</v>
      </c>
      <c r="M11">
        <f t="shared" si="0"/>
        <v>270</v>
      </c>
      <c r="N11">
        <f>P11*Constants!$E$2</f>
        <v>8.16</v>
      </c>
      <c r="P11">
        <f t="shared" si="1"/>
        <v>4.8</v>
      </c>
      <c r="Q11">
        <f>P11*Constants!$B$3</f>
        <v>20.159999999999997</v>
      </c>
      <c r="R11">
        <f t="shared" si="5"/>
        <v>11.999999999999996</v>
      </c>
      <c r="S11">
        <f t="shared" si="2"/>
        <v>19.2</v>
      </c>
      <c r="T11">
        <f>S11*Constants!$B$2</f>
        <v>53.76</v>
      </c>
      <c r="V11">
        <f t="shared" si="3"/>
        <v>0</v>
      </c>
      <c r="W11">
        <f t="shared" si="4"/>
        <v>0</v>
      </c>
      <c r="AA11" s="8"/>
      <c r="AJ11" s="4"/>
    </row>
    <row r="12" spans="1:40" x14ac:dyDescent="0.25">
      <c r="A12">
        <v>11</v>
      </c>
      <c r="B12">
        <v>7</v>
      </c>
      <c r="C12" t="s">
        <v>824</v>
      </c>
      <c r="D12" s="16" t="s">
        <v>506</v>
      </c>
      <c r="F12">
        <v>32.24</v>
      </c>
      <c r="G12">
        <v>270</v>
      </c>
      <c r="H12">
        <v>4.8</v>
      </c>
      <c r="I12">
        <f>2*1.2*(4+6)</f>
        <v>24</v>
      </c>
      <c r="L12">
        <f>Constants!$B$2</f>
        <v>2.8</v>
      </c>
      <c r="M12">
        <f>IF(N12&gt;0,G12,"N/A")</f>
        <v>270</v>
      </c>
      <c r="N12">
        <f>P12*Constants!$E$2</f>
        <v>8.16</v>
      </c>
      <c r="P12">
        <f>H12</f>
        <v>4.8</v>
      </c>
      <c r="Q12">
        <f>P12*Constants!$B$3</f>
        <v>20.159999999999997</v>
      </c>
      <c r="R12">
        <f t="shared" si="5"/>
        <v>11.999999999999996</v>
      </c>
      <c r="S12">
        <f>I12-P12</f>
        <v>19.2</v>
      </c>
      <c r="T12">
        <f>S12*Constants!$B$2</f>
        <v>53.76</v>
      </c>
      <c r="V12">
        <f t="shared" si="3"/>
        <v>0</v>
      </c>
      <c r="W12">
        <f t="shared" si="4"/>
        <v>0</v>
      </c>
      <c r="AA12" s="8"/>
      <c r="AJ12" s="4"/>
    </row>
    <row r="13" spans="1:40" x14ac:dyDescent="0.25">
      <c r="A13">
        <v>12</v>
      </c>
      <c r="B13">
        <v>7</v>
      </c>
      <c r="C13" t="s">
        <v>824</v>
      </c>
      <c r="D13" s="16" t="s">
        <v>507</v>
      </c>
      <c r="F13">
        <v>32.24</v>
      </c>
      <c r="G13">
        <v>90</v>
      </c>
      <c r="H13">
        <v>4.8</v>
      </c>
      <c r="I13">
        <f>2*1.2*(4+6)</f>
        <v>24</v>
      </c>
      <c r="L13">
        <f>Constants!$B$2</f>
        <v>2.8</v>
      </c>
      <c r="M13">
        <f t="shared" si="0"/>
        <v>90</v>
      </c>
      <c r="N13">
        <f>P13*Constants!$E$2</f>
        <v>8.16</v>
      </c>
      <c r="P13">
        <f t="shared" si="1"/>
        <v>4.8</v>
      </c>
      <c r="Q13">
        <f>P13*Constants!$B$3</f>
        <v>20.159999999999997</v>
      </c>
      <c r="R13">
        <f t="shared" si="5"/>
        <v>11.999999999999996</v>
      </c>
      <c r="S13">
        <f t="shared" si="2"/>
        <v>19.2</v>
      </c>
      <c r="T13">
        <f>S13*Constants!$B$2</f>
        <v>53.76</v>
      </c>
      <c r="V13">
        <f t="shared" si="3"/>
        <v>0</v>
      </c>
      <c r="W13">
        <f t="shared" si="4"/>
        <v>0</v>
      </c>
      <c r="AA13" s="8"/>
      <c r="AJ13" s="4"/>
    </row>
    <row r="14" spans="1:40" x14ac:dyDescent="0.25">
      <c r="A14">
        <v>13</v>
      </c>
      <c r="B14">
        <v>7</v>
      </c>
      <c r="C14" t="s">
        <v>824</v>
      </c>
      <c r="D14" s="16" t="s">
        <v>508</v>
      </c>
      <c r="F14">
        <v>32.07</v>
      </c>
      <c r="G14">
        <v>90</v>
      </c>
      <c r="H14">
        <v>4.8</v>
      </c>
      <c r="I14">
        <f>2*1.2*(4+6)</f>
        <v>24</v>
      </c>
      <c r="L14">
        <f>Constants!$B$2</f>
        <v>2.8</v>
      </c>
      <c r="M14">
        <f t="shared" si="0"/>
        <v>90</v>
      </c>
      <c r="N14">
        <f>P14*Constants!$E$2</f>
        <v>8.16</v>
      </c>
      <c r="P14">
        <f t="shared" si="1"/>
        <v>4.8</v>
      </c>
      <c r="Q14">
        <f>P14*Constants!$B$3</f>
        <v>20.159999999999997</v>
      </c>
      <c r="R14">
        <f t="shared" si="5"/>
        <v>11.999999999999996</v>
      </c>
      <c r="S14">
        <f t="shared" si="2"/>
        <v>19.2</v>
      </c>
      <c r="T14">
        <f>S14*Constants!$B$2</f>
        <v>53.76</v>
      </c>
      <c r="V14">
        <f t="shared" si="3"/>
        <v>0</v>
      </c>
      <c r="W14">
        <f t="shared" si="4"/>
        <v>0</v>
      </c>
      <c r="AA14" s="8"/>
      <c r="AJ14" s="4"/>
    </row>
    <row r="15" spans="1:40" x14ac:dyDescent="0.25">
      <c r="A15">
        <v>14</v>
      </c>
      <c r="B15">
        <v>7</v>
      </c>
      <c r="C15" t="s">
        <v>62</v>
      </c>
      <c r="D15" s="16" t="s">
        <v>509</v>
      </c>
      <c r="F15">
        <v>20.77</v>
      </c>
      <c r="G15">
        <v>0</v>
      </c>
      <c r="H15">
        <v>4</v>
      </c>
      <c r="I15">
        <f>2*(4+5.3)</f>
        <v>18.600000000000001</v>
      </c>
      <c r="L15">
        <f>Constants!$B$2</f>
        <v>2.8</v>
      </c>
      <c r="M15">
        <f t="shared" si="0"/>
        <v>0</v>
      </c>
      <c r="N15">
        <f>P15*Constants!$E$2</f>
        <v>6.8</v>
      </c>
      <c r="P15">
        <f t="shared" si="1"/>
        <v>4</v>
      </c>
      <c r="Q15">
        <f>P15*Constants!$B$3</f>
        <v>16.799999999999997</v>
      </c>
      <c r="R15">
        <f t="shared" si="5"/>
        <v>9.9999999999999964</v>
      </c>
      <c r="S15">
        <f t="shared" si="2"/>
        <v>14.600000000000001</v>
      </c>
      <c r="T15">
        <f>S15*Constants!$B$2</f>
        <v>40.880000000000003</v>
      </c>
      <c r="V15">
        <f t="shared" si="3"/>
        <v>0</v>
      </c>
      <c r="W15">
        <f t="shared" si="4"/>
        <v>0</v>
      </c>
      <c r="AA15" s="8"/>
      <c r="AJ15" s="4"/>
    </row>
    <row r="16" spans="1:40" x14ac:dyDescent="0.25">
      <c r="A16">
        <v>15</v>
      </c>
      <c r="B16">
        <v>7</v>
      </c>
      <c r="C16" t="s">
        <v>64</v>
      </c>
      <c r="D16" s="16" t="s">
        <v>510</v>
      </c>
      <c r="F16">
        <v>3.95</v>
      </c>
      <c r="G16">
        <v>90</v>
      </c>
      <c r="H16">
        <v>1.4</v>
      </c>
      <c r="I16">
        <f>2*(3.5+1.4)</f>
        <v>9.8000000000000007</v>
      </c>
      <c r="L16">
        <f>Constants!$B$2</f>
        <v>2.8</v>
      </c>
      <c r="M16">
        <f t="shared" si="0"/>
        <v>90</v>
      </c>
      <c r="N16">
        <f>P16*Constants!$E$2</f>
        <v>2.38</v>
      </c>
      <c r="P16">
        <f t="shared" si="1"/>
        <v>1.4</v>
      </c>
      <c r="Q16">
        <f>P16*Constants!$B$3</f>
        <v>5.879999999999999</v>
      </c>
      <c r="R16">
        <f t="shared" si="5"/>
        <v>3.4999999999999991</v>
      </c>
      <c r="S16">
        <f t="shared" si="2"/>
        <v>8.4</v>
      </c>
      <c r="T16">
        <f>S16*Constants!$B$2</f>
        <v>23.52</v>
      </c>
      <c r="V16">
        <f t="shared" si="3"/>
        <v>0</v>
      </c>
      <c r="W16">
        <f t="shared" si="4"/>
        <v>0</v>
      </c>
      <c r="AA16" s="8"/>
      <c r="AJ16" s="4"/>
    </row>
    <row r="17" spans="1:36" x14ac:dyDescent="0.25">
      <c r="A17">
        <v>16</v>
      </c>
      <c r="B17">
        <v>7</v>
      </c>
      <c r="C17" t="s">
        <v>64</v>
      </c>
      <c r="D17" s="16" t="s">
        <v>511</v>
      </c>
      <c r="F17">
        <v>3.95</v>
      </c>
      <c r="G17">
        <v>90</v>
      </c>
      <c r="H17">
        <v>1.4</v>
      </c>
      <c r="I17">
        <f>2*(3.5+1.4)</f>
        <v>9.8000000000000007</v>
      </c>
      <c r="L17">
        <f>Constants!$B$2</f>
        <v>2.8</v>
      </c>
      <c r="M17">
        <f t="shared" si="0"/>
        <v>90</v>
      </c>
      <c r="N17">
        <f>P17*Constants!$E$2</f>
        <v>2.38</v>
      </c>
      <c r="P17">
        <f t="shared" si="1"/>
        <v>1.4</v>
      </c>
      <c r="Q17">
        <f>P17*Constants!$B$3</f>
        <v>5.879999999999999</v>
      </c>
      <c r="R17">
        <f t="shared" si="5"/>
        <v>3.4999999999999991</v>
      </c>
      <c r="S17">
        <f t="shared" si="2"/>
        <v>8.4</v>
      </c>
      <c r="T17">
        <f>S17*Constants!$B$2</f>
        <v>23.52</v>
      </c>
      <c r="V17">
        <f t="shared" si="3"/>
        <v>0</v>
      </c>
      <c r="W17">
        <f t="shared" si="4"/>
        <v>0</v>
      </c>
      <c r="AA17" s="8"/>
      <c r="AJ17" s="4"/>
    </row>
    <row r="18" spans="1:36" x14ac:dyDescent="0.25">
      <c r="A18">
        <v>17</v>
      </c>
      <c r="B18">
        <v>7</v>
      </c>
      <c r="C18" t="s">
        <v>62</v>
      </c>
      <c r="D18" s="16" t="s">
        <v>512</v>
      </c>
      <c r="F18">
        <v>137.19999999999999</v>
      </c>
      <c r="G18" t="s">
        <v>44</v>
      </c>
      <c r="H18">
        <v>0</v>
      </c>
      <c r="I18">
        <v>98.77</v>
      </c>
      <c r="L18">
        <f>Constants!$B$2</f>
        <v>2.8</v>
      </c>
      <c r="M18" t="str">
        <f t="shared" si="0"/>
        <v>N/A</v>
      </c>
      <c r="N18">
        <f>P18*Constants!$E$2</f>
        <v>0</v>
      </c>
      <c r="P18">
        <f t="shared" si="1"/>
        <v>0</v>
      </c>
      <c r="Q18">
        <f>P18*Constants!$B$3</f>
        <v>0</v>
      </c>
      <c r="R18">
        <f t="shared" si="5"/>
        <v>0</v>
      </c>
      <c r="S18">
        <f t="shared" si="2"/>
        <v>98.77</v>
      </c>
      <c r="T18">
        <f>S18*Constants!$B$2</f>
        <v>276.55599999999998</v>
      </c>
      <c r="V18">
        <f t="shared" si="3"/>
        <v>0</v>
      </c>
      <c r="W18">
        <f t="shared" si="4"/>
        <v>0</v>
      </c>
      <c r="AA18" s="8"/>
      <c r="AJ18" s="4"/>
    </row>
    <row r="19" spans="1:36" x14ac:dyDescent="0.25">
      <c r="A19">
        <v>18</v>
      </c>
      <c r="B19">
        <v>7</v>
      </c>
      <c r="C19" t="s">
        <v>824</v>
      </c>
      <c r="D19" s="16" t="s">
        <v>513</v>
      </c>
      <c r="E19" s="16"/>
      <c r="F19">
        <v>32.049999999999997</v>
      </c>
      <c r="G19">
        <v>90</v>
      </c>
      <c r="H19">
        <v>4.8</v>
      </c>
      <c r="I19">
        <f>2*1.2*(4+6)</f>
        <v>24</v>
      </c>
      <c r="L19">
        <f>Constants!$B$2</f>
        <v>2.8</v>
      </c>
      <c r="M19">
        <f t="shared" si="0"/>
        <v>90</v>
      </c>
      <c r="N19">
        <f>P19*Constants!$E$2</f>
        <v>8.16</v>
      </c>
      <c r="P19">
        <f t="shared" si="1"/>
        <v>4.8</v>
      </c>
      <c r="Q19">
        <f>P19*Constants!$B$3</f>
        <v>20.159999999999997</v>
      </c>
      <c r="R19">
        <f t="shared" si="5"/>
        <v>11.999999999999996</v>
      </c>
      <c r="S19">
        <f t="shared" si="2"/>
        <v>19.2</v>
      </c>
      <c r="T19">
        <f>S19*Constants!$B$2</f>
        <v>53.76</v>
      </c>
      <c r="V19">
        <f t="shared" si="3"/>
        <v>0</v>
      </c>
      <c r="W19">
        <f t="shared" si="4"/>
        <v>0</v>
      </c>
      <c r="AA19" s="8"/>
      <c r="AJ19" s="4"/>
    </row>
    <row r="20" spans="1:36" x14ac:dyDescent="0.25">
      <c r="A20">
        <v>19</v>
      </c>
      <c r="B20">
        <v>7</v>
      </c>
      <c r="C20" t="s">
        <v>55</v>
      </c>
      <c r="D20" s="16" t="s">
        <v>514</v>
      </c>
      <c r="E20" s="16"/>
      <c r="F20">
        <v>14.01</v>
      </c>
      <c r="G20">
        <v>90</v>
      </c>
      <c r="H20">
        <v>2.4</v>
      </c>
      <c r="I20">
        <f>2*1.2*(2+5.5)</f>
        <v>18</v>
      </c>
      <c r="L20">
        <f>Constants!$B$2</f>
        <v>2.8</v>
      </c>
      <c r="M20">
        <f t="shared" si="0"/>
        <v>90</v>
      </c>
      <c r="N20">
        <f>P20*Constants!$E$2</f>
        <v>4.08</v>
      </c>
      <c r="P20">
        <f t="shared" si="1"/>
        <v>2.4</v>
      </c>
      <c r="Q20">
        <f>P20*Constants!$B$3</f>
        <v>10.079999999999998</v>
      </c>
      <c r="R20">
        <f t="shared" si="5"/>
        <v>5.9999999999999982</v>
      </c>
      <c r="S20">
        <f t="shared" si="2"/>
        <v>15.6</v>
      </c>
      <c r="T20">
        <f>S20*Constants!$B$2</f>
        <v>43.68</v>
      </c>
      <c r="V20">
        <f t="shared" si="3"/>
        <v>0</v>
      </c>
      <c r="W20">
        <f t="shared" si="4"/>
        <v>0</v>
      </c>
      <c r="AA20" s="8"/>
      <c r="AJ20" s="4"/>
    </row>
    <row r="21" spans="1:36" x14ac:dyDescent="0.25">
      <c r="A21">
        <v>20</v>
      </c>
      <c r="B21">
        <v>7</v>
      </c>
      <c r="C21" t="s">
        <v>54</v>
      </c>
      <c r="D21" s="16" t="s">
        <v>515</v>
      </c>
      <c r="E21" s="16"/>
      <c r="F21">
        <v>13.85</v>
      </c>
      <c r="G21">
        <v>90</v>
      </c>
      <c r="H21">
        <v>2.4</v>
      </c>
      <c r="I21">
        <f>2*1.2*(2+5.5)</f>
        <v>18</v>
      </c>
      <c r="L21">
        <f>Constants!$B$2</f>
        <v>2.8</v>
      </c>
      <c r="M21">
        <f t="shared" si="0"/>
        <v>90</v>
      </c>
      <c r="N21">
        <f>P21*Constants!$E$2</f>
        <v>4.08</v>
      </c>
      <c r="P21">
        <f t="shared" si="1"/>
        <v>2.4</v>
      </c>
      <c r="Q21">
        <f>P21*Constants!$B$3</f>
        <v>10.079999999999998</v>
      </c>
      <c r="R21">
        <f t="shared" si="5"/>
        <v>5.9999999999999982</v>
      </c>
      <c r="S21">
        <f t="shared" si="2"/>
        <v>15.6</v>
      </c>
      <c r="T21">
        <f>S21*Constants!$B$2</f>
        <v>43.68</v>
      </c>
      <c r="V21">
        <f t="shared" si="3"/>
        <v>0</v>
      </c>
      <c r="W21">
        <f t="shared" si="4"/>
        <v>0</v>
      </c>
      <c r="AA21" s="8"/>
      <c r="AJ21" s="4"/>
    </row>
    <row r="22" spans="1:36" x14ac:dyDescent="0.25">
      <c r="A22">
        <v>21</v>
      </c>
      <c r="B22">
        <v>7</v>
      </c>
      <c r="C22" t="s">
        <v>54</v>
      </c>
      <c r="D22" s="16" t="s">
        <v>516</v>
      </c>
      <c r="E22" s="16"/>
      <c r="F22">
        <v>14.17</v>
      </c>
      <c r="G22">
        <v>90</v>
      </c>
      <c r="H22">
        <v>2.4</v>
      </c>
      <c r="I22">
        <f>2*1.2*(2+5.5)</f>
        <v>18</v>
      </c>
      <c r="L22">
        <f>Constants!$B$2</f>
        <v>2.8</v>
      </c>
      <c r="M22">
        <f t="shared" si="0"/>
        <v>90</v>
      </c>
      <c r="N22">
        <f>P22*Constants!$E$2</f>
        <v>4.08</v>
      </c>
      <c r="P22">
        <f t="shared" si="1"/>
        <v>2.4</v>
      </c>
      <c r="Q22">
        <f>P22*Constants!$B$3</f>
        <v>10.079999999999998</v>
      </c>
      <c r="R22">
        <f t="shared" si="5"/>
        <v>5.9999999999999982</v>
      </c>
      <c r="S22">
        <f t="shared" si="2"/>
        <v>15.6</v>
      </c>
      <c r="T22">
        <f>S22*Constants!$B$2</f>
        <v>43.68</v>
      </c>
      <c r="V22">
        <f t="shared" si="3"/>
        <v>0</v>
      </c>
      <c r="W22">
        <f t="shared" si="4"/>
        <v>0</v>
      </c>
      <c r="AA22" s="8"/>
      <c r="AJ22" s="4"/>
    </row>
    <row r="23" spans="1:36" x14ac:dyDescent="0.25">
      <c r="A23">
        <v>22</v>
      </c>
      <c r="B23">
        <v>7</v>
      </c>
      <c r="C23" t="s">
        <v>55</v>
      </c>
      <c r="D23" s="16" t="s">
        <v>517</v>
      </c>
      <c r="E23" s="16"/>
      <c r="F23">
        <v>13.8</v>
      </c>
      <c r="G23">
        <v>90</v>
      </c>
      <c r="H23">
        <v>2.4</v>
      </c>
      <c r="I23">
        <f>2*1.2*(2+5.5)</f>
        <v>18</v>
      </c>
      <c r="L23">
        <f>Constants!$B$2</f>
        <v>2.8</v>
      </c>
      <c r="M23">
        <f t="shared" si="0"/>
        <v>90</v>
      </c>
      <c r="N23">
        <f>P23*Constants!$E$2</f>
        <v>4.08</v>
      </c>
      <c r="P23">
        <f t="shared" si="1"/>
        <v>2.4</v>
      </c>
      <c r="Q23">
        <f>P23*Constants!$B$3</f>
        <v>10.079999999999998</v>
      </c>
      <c r="R23">
        <f t="shared" si="5"/>
        <v>5.9999999999999982</v>
      </c>
      <c r="S23">
        <f t="shared" si="2"/>
        <v>15.6</v>
      </c>
      <c r="T23">
        <f>S23*Constants!$B$2</f>
        <v>43.68</v>
      </c>
      <c r="V23">
        <f t="shared" si="3"/>
        <v>0</v>
      </c>
      <c r="W23">
        <f t="shared" si="4"/>
        <v>0</v>
      </c>
      <c r="AA23" s="8"/>
      <c r="AJ23" s="4"/>
    </row>
    <row r="24" spans="1:36" x14ac:dyDescent="0.25">
      <c r="A24">
        <v>23</v>
      </c>
      <c r="B24">
        <v>7</v>
      </c>
      <c r="C24" t="s">
        <v>824</v>
      </c>
      <c r="D24" s="16" t="s">
        <v>518</v>
      </c>
      <c r="E24" s="16"/>
      <c r="F24">
        <v>32.6</v>
      </c>
      <c r="G24">
        <v>90</v>
      </c>
      <c r="H24">
        <v>4.8</v>
      </c>
      <c r="I24">
        <f>2*1.2*(4+6)</f>
        <v>24</v>
      </c>
      <c r="L24">
        <f>Constants!$B$2</f>
        <v>2.8</v>
      </c>
      <c r="M24">
        <f t="shared" si="0"/>
        <v>90</v>
      </c>
      <c r="N24">
        <f>P24*Constants!$E$2</f>
        <v>8.16</v>
      </c>
      <c r="P24">
        <f t="shared" si="1"/>
        <v>4.8</v>
      </c>
      <c r="Q24">
        <f>P24*Constants!$B$3</f>
        <v>20.159999999999997</v>
      </c>
      <c r="R24">
        <f t="shared" si="5"/>
        <v>11.999999999999996</v>
      </c>
      <c r="S24">
        <f t="shared" si="2"/>
        <v>19.2</v>
      </c>
      <c r="T24">
        <f>S24*Constants!$B$2</f>
        <v>53.76</v>
      </c>
      <c r="V24">
        <f t="shared" si="3"/>
        <v>0</v>
      </c>
      <c r="W24">
        <f t="shared" si="4"/>
        <v>0</v>
      </c>
      <c r="AA24" s="8"/>
      <c r="AJ24" s="4"/>
    </row>
    <row r="25" spans="1:36" x14ac:dyDescent="0.25">
      <c r="A25">
        <v>24</v>
      </c>
      <c r="B25">
        <v>7</v>
      </c>
      <c r="C25" t="s">
        <v>824</v>
      </c>
      <c r="D25" s="16" t="s">
        <v>519</v>
      </c>
      <c r="F25">
        <v>31.73</v>
      </c>
      <c r="G25">
        <v>90</v>
      </c>
      <c r="H25">
        <v>4.8</v>
      </c>
      <c r="I25">
        <f>2*1.2*(4+6)</f>
        <v>24</v>
      </c>
      <c r="L25">
        <f>Constants!$B$2</f>
        <v>2.8</v>
      </c>
      <c r="M25">
        <f t="shared" si="0"/>
        <v>90</v>
      </c>
      <c r="N25">
        <f>P25*Constants!$E$2</f>
        <v>8.16</v>
      </c>
      <c r="P25">
        <f t="shared" si="1"/>
        <v>4.8</v>
      </c>
      <c r="Q25">
        <f>P25*Constants!$B$3</f>
        <v>20.159999999999997</v>
      </c>
      <c r="R25">
        <f t="shared" si="5"/>
        <v>11.999999999999996</v>
      </c>
      <c r="S25">
        <f t="shared" si="2"/>
        <v>19.2</v>
      </c>
      <c r="T25">
        <f>S25*Constants!$B$2</f>
        <v>53.76</v>
      </c>
      <c r="V25">
        <f t="shared" si="3"/>
        <v>0</v>
      </c>
      <c r="W25">
        <f t="shared" si="4"/>
        <v>0</v>
      </c>
      <c r="AA25" s="8"/>
      <c r="AJ25" s="4"/>
    </row>
    <row r="26" spans="1:36" x14ac:dyDescent="0.25">
      <c r="A26">
        <v>25</v>
      </c>
      <c r="B26">
        <v>7</v>
      </c>
      <c r="C26" t="s">
        <v>62</v>
      </c>
      <c r="D26" s="16" t="s">
        <v>528</v>
      </c>
      <c r="E26" s="16" t="s">
        <v>519</v>
      </c>
      <c r="F26">
        <v>1.48</v>
      </c>
      <c r="G26" t="s">
        <v>44</v>
      </c>
      <c r="H26">
        <v>0</v>
      </c>
      <c r="I26">
        <f>2*1.2*(4+2)</f>
        <v>14.399999999999999</v>
      </c>
      <c r="L26">
        <f>Constants!$B$2</f>
        <v>2.8</v>
      </c>
      <c r="M26" t="str">
        <f t="shared" ref="M26" si="7">IF(N26&gt;0,G26,"N/A")</f>
        <v>N/A</v>
      </c>
      <c r="N26">
        <f>P26*Constants!$E$2</f>
        <v>0</v>
      </c>
      <c r="P26">
        <f t="shared" ref="P26" si="8">H26</f>
        <v>0</v>
      </c>
      <c r="Q26">
        <f>P26*Constants!$B$3</f>
        <v>0</v>
      </c>
      <c r="R26">
        <f t="shared" ref="R26" si="9">IF(Q26-N26&lt;=0, 0, Q26-N26)</f>
        <v>0</v>
      </c>
      <c r="S26">
        <f t="shared" ref="S26" si="10">I26-P26</f>
        <v>14.399999999999999</v>
      </c>
      <c r="T26">
        <f>S26*Constants!$B$2</f>
        <v>40.319999999999993</v>
      </c>
      <c r="V26">
        <f t="shared" ref="V26" si="11">IF(B26="E",1,0)</f>
        <v>0</v>
      </c>
      <c r="W26">
        <f t="shared" ref="W26" si="12">IF(B26=10,1,0)</f>
        <v>0</v>
      </c>
      <c r="AA26" s="8"/>
      <c r="AJ26" s="4"/>
    </row>
    <row r="27" spans="1:36" x14ac:dyDescent="0.25">
      <c r="A27">
        <v>26</v>
      </c>
      <c r="B27">
        <v>7</v>
      </c>
      <c r="C27" t="s">
        <v>57</v>
      </c>
      <c r="D27" s="16" t="s">
        <v>520</v>
      </c>
      <c r="F27">
        <v>14.57</v>
      </c>
      <c r="G27" t="s">
        <v>44</v>
      </c>
      <c r="H27">
        <v>0</v>
      </c>
      <c r="I27">
        <v>16.079999999999998</v>
      </c>
      <c r="L27">
        <f>Constants!$B$2</f>
        <v>2.8</v>
      </c>
      <c r="M27" t="str">
        <f t="shared" si="0"/>
        <v>N/A</v>
      </c>
      <c r="N27">
        <f>P27*Constants!$E$2</f>
        <v>0</v>
      </c>
      <c r="P27">
        <f t="shared" si="1"/>
        <v>0</v>
      </c>
      <c r="Q27">
        <f>P27*Constants!$B$3</f>
        <v>0</v>
      </c>
      <c r="R27">
        <f t="shared" si="5"/>
        <v>0</v>
      </c>
      <c r="S27">
        <f t="shared" si="2"/>
        <v>16.079999999999998</v>
      </c>
      <c r="T27">
        <f>S27*Constants!$B$2</f>
        <v>45.023999999999994</v>
      </c>
      <c r="V27">
        <f t="shared" si="3"/>
        <v>0</v>
      </c>
      <c r="W27">
        <f t="shared" si="4"/>
        <v>0</v>
      </c>
      <c r="AA27" s="8"/>
      <c r="AJ27" s="4"/>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4"/>
    </row>
    <row r="430" spans="4:4" x14ac:dyDescent="0.25">
      <c r="D430" s="14"/>
    </row>
    <row r="431" spans="4:4" x14ac:dyDescent="0.25">
      <c r="D431" s="13"/>
    </row>
    <row r="432" spans="4:4" x14ac:dyDescent="0.25">
      <c r="D432" s="13"/>
    </row>
    <row r="433" spans="4:4" x14ac:dyDescent="0.25">
      <c r="D433" s="13"/>
    </row>
    <row r="434" spans="4:4" x14ac:dyDescent="0.25">
      <c r="D434" s="13"/>
    </row>
    <row r="435" spans="4:4" x14ac:dyDescent="0.25">
      <c r="D435" s="13"/>
    </row>
    <row r="436" spans="4:4" x14ac:dyDescent="0.25">
      <c r="D436" s="13"/>
    </row>
    <row r="437" spans="4:4" x14ac:dyDescent="0.25">
      <c r="D437" s="13"/>
    </row>
    <row r="438" spans="4:4" x14ac:dyDescent="0.25">
      <c r="D438" s="13"/>
    </row>
  </sheetData>
  <phoneticPr fontId="5" type="noConversion"/>
  <pageMargins left="0.7" right="0.7" top="0.78740157499999996" bottom="0.78740157499999996" header="0.3" footer="0.3"/>
  <pageSetup paperSize="9"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6"/>
  <sheetViews>
    <sheetView zoomScaleNormal="100" workbookViewId="0">
      <pane xSplit="4" ySplit="1" topLeftCell="I21" activePane="bottomRight" state="frozen"/>
      <selection pane="topRight" activeCell="F1" sqref="F1"/>
      <selection pane="bottomLeft" activeCell="A2" sqref="A2"/>
      <selection pane="bottomRight" activeCell="I10" sqref="I10:I4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59</v>
      </c>
      <c r="D2" s="16" t="s">
        <v>529</v>
      </c>
      <c r="F2">
        <v>25.77</v>
      </c>
      <c r="G2" t="s">
        <v>44</v>
      </c>
      <c r="H2">
        <v>0</v>
      </c>
      <c r="I2">
        <f>2*1.2*(4+5)</f>
        <v>21.599999999999998</v>
      </c>
      <c r="L2">
        <f>Constants!$B$2</f>
        <v>2.8</v>
      </c>
      <c r="M2" t="str">
        <f t="shared" ref="M2:M45" si="0">IF(N2&gt;0,G2,"N/A")</f>
        <v>N/A</v>
      </c>
      <c r="N2">
        <f>P2*Constants!$E$2</f>
        <v>0</v>
      </c>
      <c r="P2">
        <f>H2</f>
        <v>0</v>
      </c>
      <c r="Q2">
        <f>P2*Constants!$B$3</f>
        <v>0</v>
      </c>
      <c r="R2">
        <f>IF(Q2-N2&lt;=0, 0, Q2-N2)</f>
        <v>0</v>
      </c>
      <c r="S2">
        <f>I2-P2</f>
        <v>21.599999999999998</v>
      </c>
      <c r="T2">
        <f>S2*Constants!$B$2</f>
        <v>60.47999999999999</v>
      </c>
      <c r="V2">
        <f>IF(B2="E",1,0)</f>
        <v>0</v>
      </c>
      <c r="W2">
        <f>IF(B2=10,1,0)</f>
        <v>0</v>
      </c>
      <c r="AA2" s="8"/>
      <c r="AJ2" s="4"/>
    </row>
    <row r="3" spans="1:40" x14ac:dyDescent="0.25">
      <c r="A3">
        <v>2</v>
      </c>
      <c r="B3">
        <v>7</v>
      </c>
      <c r="C3" t="s">
        <v>49</v>
      </c>
      <c r="D3" s="16" t="s">
        <v>530</v>
      </c>
      <c r="F3">
        <v>24.76</v>
      </c>
      <c r="G3">
        <v>270</v>
      </c>
      <c r="H3">
        <v>2</v>
      </c>
      <c r="I3">
        <f>2*1.2*(3+6.5)</f>
        <v>22.8</v>
      </c>
      <c r="L3">
        <f>Constants!$B$2</f>
        <v>2.8</v>
      </c>
      <c r="M3">
        <f t="shared" si="0"/>
        <v>270</v>
      </c>
      <c r="N3">
        <f>P3*Constants!$E$2</f>
        <v>3.4</v>
      </c>
      <c r="P3">
        <f t="shared" ref="P3:P45" si="1">H3</f>
        <v>2</v>
      </c>
      <c r="Q3">
        <f>P3*Constants!$B$3</f>
        <v>8.3999999999999986</v>
      </c>
      <c r="R3">
        <f>IF(Q3-N3&lt;=0, 0, Q3-N3)</f>
        <v>4.9999999999999982</v>
      </c>
      <c r="S3">
        <f t="shared" ref="S3:S45" si="2">I3-P3</f>
        <v>20.8</v>
      </c>
      <c r="T3">
        <f>S3*Constants!$B$2</f>
        <v>58.239999999999995</v>
      </c>
      <c r="V3">
        <f t="shared" ref="V3:V45" si="3">IF(B3="E",1,0)</f>
        <v>0</v>
      </c>
      <c r="W3">
        <f t="shared" ref="W3:W45" si="4">IF(B3=10,1,0)</f>
        <v>0</v>
      </c>
      <c r="AA3" s="8"/>
      <c r="AJ3" s="4"/>
    </row>
    <row r="4" spans="1:40" x14ac:dyDescent="0.25">
      <c r="A4">
        <v>3</v>
      </c>
      <c r="B4">
        <v>7</v>
      </c>
      <c r="C4" t="s">
        <v>57</v>
      </c>
      <c r="D4" s="16" t="s">
        <v>531</v>
      </c>
      <c r="E4" s="16" t="s">
        <v>530</v>
      </c>
      <c r="F4">
        <v>3.71</v>
      </c>
      <c r="G4" t="s">
        <v>44</v>
      </c>
      <c r="H4">
        <v>0</v>
      </c>
      <c r="I4">
        <v>3.71</v>
      </c>
      <c r="L4">
        <f>Constants!$B$2</f>
        <v>2.8</v>
      </c>
      <c r="M4" t="str">
        <f t="shared" ref="M4" si="5">IF(N4&gt;0,G4,"N/A")</f>
        <v>N/A</v>
      </c>
      <c r="N4">
        <f>P4*Constants!$E$2</f>
        <v>0</v>
      </c>
      <c r="P4">
        <f>H4</f>
        <v>0</v>
      </c>
      <c r="Q4">
        <f>P4*Constants!$B$3</f>
        <v>0</v>
      </c>
      <c r="R4">
        <f t="shared" ref="R4" si="6">IF(Q4-N4&lt;=0, 0, Q4-N4)</f>
        <v>0</v>
      </c>
      <c r="S4">
        <f>I4-P4</f>
        <v>3.71</v>
      </c>
      <c r="T4">
        <f>S4*Constants!$B$2</f>
        <v>10.388</v>
      </c>
      <c r="V4">
        <f>IF(B4="E",1,0)</f>
        <v>0</v>
      </c>
      <c r="W4">
        <f>IF(B4=10,1,0)</f>
        <v>0</v>
      </c>
      <c r="AA4" s="8"/>
      <c r="AJ4" s="4"/>
    </row>
    <row r="5" spans="1:40" x14ac:dyDescent="0.25">
      <c r="A5">
        <v>4</v>
      </c>
      <c r="B5">
        <v>7</v>
      </c>
      <c r="C5" t="s">
        <v>49</v>
      </c>
      <c r="D5" s="16" t="s">
        <v>532</v>
      </c>
      <c r="F5">
        <v>24.68</v>
      </c>
      <c r="G5">
        <v>270</v>
      </c>
      <c r="H5">
        <v>3.6</v>
      </c>
      <c r="I5">
        <f>2*(7.8+3.6)</f>
        <v>22.8</v>
      </c>
      <c r="L5">
        <f>Constants!$B$2</f>
        <v>2.8</v>
      </c>
      <c r="M5">
        <f t="shared" si="0"/>
        <v>270</v>
      </c>
      <c r="N5">
        <f>P5*Constants!$E$2</f>
        <v>6.12</v>
      </c>
      <c r="P5">
        <f t="shared" si="1"/>
        <v>3.6</v>
      </c>
      <c r="Q5">
        <f>P5*Constants!$B$3</f>
        <v>15.119999999999997</v>
      </c>
      <c r="R5">
        <f t="shared" ref="R5:R45" si="7">IF(Q5-N5&lt;=0, 0, Q5-N5)</f>
        <v>8.9999999999999964</v>
      </c>
      <c r="S5">
        <f t="shared" si="2"/>
        <v>19.2</v>
      </c>
      <c r="T5">
        <f>S5*Constants!$B$2</f>
        <v>53.76</v>
      </c>
      <c r="V5">
        <f t="shared" si="3"/>
        <v>0</v>
      </c>
      <c r="W5">
        <f t="shared" si="4"/>
        <v>0</v>
      </c>
      <c r="AA5" s="8"/>
      <c r="AJ5" s="4"/>
    </row>
    <row r="6" spans="1:40" x14ac:dyDescent="0.25">
      <c r="A6">
        <v>5</v>
      </c>
      <c r="B6">
        <v>7</v>
      </c>
      <c r="C6" t="s">
        <v>57</v>
      </c>
      <c r="D6" s="16" t="s">
        <v>533</v>
      </c>
      <c r="E6" s="16" t="s">
        <v>532</v>
      </c>
      <c r="F6">
        <v>3.71</v>
      </c>
      <c r="G6" t="s">
        <v>44</v>
      </c>
      <c r="H6">
        <v>0</v>
      </c>
      <c r="I6">
        <v>3.71</v>
      </c>
      <c r="L6">
        <f>Constants!$B$2</f>
        <v>2.8</v>
      </c>
      <c r="M6" t="str">
        <f t="shared" si="0"/>
        <v>N/A</v>
      </c>
      <c r="N6">
        <f>P6*Constants!$E$2</f>
        <v>0</v>
      </c>
      <c r="P6">
        <f>H6</f>
        <v>0</v>
      </c>
      <c r="Q6">
        <f>P6*Constants!$B$3</f>
        <v>0</v>
      </c>
      <c r="R6">
        <f t="shared" si="7"/>
        <v>0</v>
      </c>
      <c r="S6">
        <f>I6-P6</f>
        <v>3.71</v>
      </c>
      <c r="T6">
        <f>S6*Constants!$B$2</f>
        <v>10.388</v>
      </c>
      <c r="V6">
        <f>IF(B6="E",1,0)</f>
        <v>0</v>
      </c>
      <c r="W6">
        <f>IF(B6=10,1,0)</f>
        <v>0</v>
      </c>
      <c r="AA6" s="8"/>
      <c r="AJ6" s="4"/>
    </row>
    <row r="7" spans="1:40" x14ac:dyDescent="0.25">
      <c r="A7">
        <v>6</v>
      </c>
      <c r="B7">
        <v>7</v>
      </c>
      <c r="C7" t="s">
        <v>49</v>
      </c>
      <c r="D7" s="16" t="s">
        <v>534</v>
      </c>
      <c r="F7">
        <v>24.68</v>
      </c>
      <c r="G7">
        <v>270</v>
      </c>
      <c r="H7">
        <v>3.6</v>
      </c>
      <c r="I7">
        <f>2*(7.8+3.6)</f>
        <v>22.8</v>
      </c>
      <c r="L7">
        <f>Constants!$B$2</f>
        <v>2.8</v>
      </c>
      <c r="M7">
        <f t="shared" si="0"/>
        <v>270</v>
      </c>
      <c r="N7">
        <f>P7*Constants!$E$2</f>
        <v>6.12</v>
      </c>
      <c r="P7">
        <f t="shared" ref="P7:P8" si="8">H7</f>
        <v>3.6</v>
      </c>
      <c r="Q7">
        <f>P7*Constants!$B$3</f>
        <v>15.119999999999997</v>
      </c>
      <c r="R7">
        <f t="shared" si="7"/>
        <v>8.9999999999999964</v>
      </c>
      <c r="S7">
        <f t="shared" ref="S7:S8" si="9">I7-P7</f>
        <v>19.2</v>
      </c>
      <c r="T7">
        <f>S7*Constants!$B$2</f>
        <v>53.76</v>
      </c>
      <c r="V7">
        <f t="shared" ref="V7:V8" si="10">IF(B7="E",1,0)</f>
        <v>0</v>
      </c>
      <c r="W7">
        <f t="shared" ref="W7:W8" si="11">IF(B7=10,1,0)</f>
        <v>0</v>
      </c>
      <c r="AA7" s="8"/>
      <c r="AJ7" s="4"/>
    </row>
    <row r="8" spans="1:40" x14ac:dyDescent="0.25">
      <c r="A8">
        <v>7</v>
      </c>
      <c r="B8">
        <v>7</v>
      </c>
      <c r="C8" t="s">
        <v>57</v>
      </c>
      <c r="D8" s="16" t="s">
        <v>535</v>
      </c>
      <c r="E8" s="16" t="s">
        <v>534</v>
      </c>
      <c r="F8">
        <v>3.71</v>
      </c>
      <c r="G8" t="s">
        <v>44</v>
      </c>
      <c r="H8">
        <v>0</v>
      </c>
      <c r="I8">
        <v>3.71</v>
      </c>
      <c r="L8">
        <f>Constants!$B$2</f>
        <v>2.8</v>
      </c>
      <c r="M8" t="str">
        <f t="shared" si="0"/>
        <v>N/A</v>
      </c>
      <c r="N8">
        <f>P8*Constants!$E$2</f>
        <v>0</v>
      </c>
      <c r="P8">
        <f t="shared" si="8"/>
        <v>0</v>
      </c>
      <c r="Q8">
        <f>P8*Constants!$B$3</f>
        <v>0</v>
      </c>
      <c r="R8">
        <f t="shared" si="7"/>
        <v>0</v>
      </c>
      <c r="S8">
        <f t="shared" si="9"/>
        <v>3.71</v>
      </c>
      <c r="T8">
        <f>S8*Constants!$B$2</f>
        <v>10.388</v>
      </c>
      <c r="V8">
        <f t="shared" si="10"/>
        <v>0</v>
      </c>
      <c r="W8">
        <f t="shared" si="11"/>
        <v>0</v>
      </c>
      <c r="AA8" s="8"/>
      <c r="AJ8" s="4"/>
    </row>
    <row r="9" spans="1:40" x14ac:dyDescent="0.25">
      <c r="A9">
        <v>8</v>
      </c>
      <c r="B9">
        <v>7</v>
      </c>
      <c r="C9" t="s">
        <v>54</v>
      </c>
      <c r="D9" s="16" t="s">
        <v>536</v>
      </c>
      <c r="F9">
        <v>12.56</v>
      </c>
      <c r="G9">
        <v>270</v>
      </c>
      <c r="H9">
        <v>3.6</v>
      </c>
      <c r="I9">
        <f>2*(5+3)</f>
        <v>16</v>
      </c>
      <c r="L9">
        <f>Constants!$B$2</f>
        <v>2.8</v>
      </c>
      <c r="M9">
        <f t="shared" si="0"/>
        <v>270</v>
      </c>
      <c r="N9">
        <f>P9*Constants!$E$2</f>
        <v>6.12</v>
      </c>
      <c r="P9">
        <f t="shared" si="1"/>
        <v>3.6</v>
      </c>
      <c r="Q9">
        <f>P9*Constants!$B$3</f>
        <v>15.119999999999997</v>
      </c>
      <c r="R9">
        <f t="shared" si="7"/>
        <v>8.9999999999999964</v>
      </c>
      <c r="S9">
        <f t="shared" si="2"/>
        <v>12.4</v>
      </c>
      <c r="T9">
        <f>S9*Constants!$B$2</f>
        <v>34.72</v>
      </c>
      <c r="V9">
        <f t="shared" si="3"/>
        <v>0</v>
      </c>
      <c r="W9">
        <f t="shared" si="4"/>
        <v>0</v>
      </c>
      <c r="AA9" s="8"/>
      <c r="AJ9" s="4"/>
    </row>
    <row r="10" spans="1:40" x14ac:dyDescent="0.25">
      <c r="A10">
        <v>9</v>
      </c>
      <c r="B10">
        <v>7</v>
      </c>
      <c r="C10" t="s">
        <v>57</v>
      </c>
      <c r="D10" s="16" t="s">
        <v>537</v>
      </c>
      <c r="E10" s="16" t="s">
        <v>536</v>
      </c>
      <c r="F10">
        <v>3.71</v>
      </c>
      <c r="G10" t="s">
        <v>44</v>
      </c>
      <c r="H10">
        <v>0</v>
      </c>
      <c r="I10">
        <v>7.44</v>
      </c>
      <c r="L10">
        <f>Constants!$B$2</f>
        <v>2.8</v>
      </c>
      <c r="M10" t="str">
        <f t="shared" si="0"/>
        <v>N/A</v>
      </c>
      <c r="N10">
        <f>P10*Constants!$E$2</f>
        <v>0</v>
      </c>
      <c r="P10">
        <f t="shared" si="1"/>
        <v>0</v>
      </c>
      <c r="Q10">
        <f>P10*Constants!$B$3</f>
        <v>0</v>
      </c>
      <c r="R10">
        <f t="shared" si="7"/>
        <v>0</v>
      </c>
      <c r="S10">
        <f t="shared" si="2"/>
        <v>7.44</v>
      </c>
      <c r="T10">
        <f>S10*Constants!$B$2</f>
        <v>20.832000000000001</v>
      </c>
      <c r="V10">
        <f t="shared" si="3"/>
        <v>0</v>
      </c>
      <c r="W10">
        <f t="shared" si="4"/>
        <v>0</v>
      </c>
      <c r="AA10" s="8"/>
      <c r="AJ10" s="4"/>
    </row>
    <row r="11" spans="1:40" x14ac:dyDescent="0.25">
      <c r="A11">
        <v>10</v>
      </c>
      <c r="B11">
        <v>7</v>
      </c>
      <c r="C11" t="s">
        <v>54</v>
      </c>
      <c r="D11" s="16" t="s">
        <v>538</v>
      </c>
      <c r="F11">
        <v>25.06</v>
      </c>
      <c r="G11" t="s">
        <v>44</v>
      </c>
      <c r="H11">
        <v>0</v>
      </c>
      <c r="I11">
        <f>2*(4.2+3)</f>
        <v>14.4</v>
      </c>
      <c r="L11">
        <f>Constants!$B$2</f>
        <v>2.8</v>
      </c>
      <c r="M11" t="str">
        <f t="shared" si="0"/>
        <v>N/A</v>
      </c>
      <c r="N11">
        <f>P11*Constants!$E$2</f>
        <v>0</v>
      </c>
      <c r="P11">
        <f t="shared" si="1"/>
        <v>0</v>
      </c>
      <c r="Q11">
        <f>P11*Constants!$B$3</f>
        <v>0</v>
      </c>
      <c r="R11">
        <f t="shared" si="7"/>
        <v>0</v>
      </c>
      <c r="S11">
        <f t="shared" si="2"/>
        <v>14.4</v>
      </c>
      <c r="T11">
        <f>S11*Constants!$B$2</f>
        <v>40.32</v>
      </c>
      <c r="V11">
        <f t="shared" si="3"/>
        <v>0</v>
      </c>
      <c r="W11">
        <f t="shared" si="4"/>
        <v>0</v>
      </c>
      <c r="AA11" s="8"/>
      <c r="AJ11" s="4"/>
    </row>
    <row r="12" spans="1:40" x14ac:dyDescent="0.25">
      <c r="A12">
        <v>11</v>
      </c>
      <c r="B12">
        <v>7</v>
      </c>
      <c r="C12" t="s">
        <v>45</v>
      </c>
      <c r="D12" s="16" t="s">
        <v>539</v>
      </c>
      <c r="E12" s="16"/>
      <c r="F12">
        <v>7.76</v>
      </c>
      <c r="G12" t="s">
        <v>44</v>
      </c>
      <c r="H12">
        <v>0</v>
      </c>
      <c r="I12">
        <f>2*(2.4+3.6)</f>
        <v>12</v>
      </c>
      <c r="L12">
        <f>Constants!$B$2</f>
        <v>2.8</v>
      </c>
      <c r="M12" t="str">
        <f t="shared" si="0"/>
        <v>N/A</v>
      </c>
      <c r="N12">
        <f>P12*Constants!$E$2</f>
        <v>0</v>
      </c>
      <c r="P12">
        <f t="shared" si="1"/>
        <v>0</v>
      </c>
      <c r="Q12">
        <f>P12*Constants!$B$3</f>
        <v>0</v>
      </c>
      <c r="R12">
        <f t="shared" si="7"/>
        <v>0</v>
      </c>
      <c r="S12">
        <f t="shared" si="2"/>
        <v>12</v>
      </c>
      <c r="T12">
        <f>S12*Constants!$B$2</f>
        <v>33.599999999999994</v>
      </c>
      <c r="V12">
        <f t="shared" si="3"/>
        <v>0</v>
      </c>
      <c r="W12">
        <f t="shared" si="4"/>
        <v>0</v>
      </c>
      <c r="AA12" s="8"/>
      <c r="AJ12" s="4"/>
    </row>
    <row r="13" spans="1:40" x14ac:dyDescent="0.25">
      <c r="A13">
        <v>12</v>
      </c>
      <c r="B13">
        <v>7</v>
      </c>
      <c r="C13" t="s">
        <v>49</v>
      </c>
      <c r="D13" s="16" t="s">
        <v>540</v>
      </c>
      <c r="F13">
        <v>11.46</v>
      </c>
      <c r="G13">
        <v>270</v>
      </c>
      <c r="H13">
        <v>3</v>
      </c>
      <c r="I13">
        <f>2*(4.2+3)</f>
        <v>14.4</v>
      </c>
      <c r="L13">
        <f>Constants!$B$2</f>
        <v>2.8</v>
      </c>
      <c r="M13">
        <f t="shared" si="0"/>
        <v>270</v>
      </c>
      <c r="N13">
        <f>P13*Constants!$E$2</f>
        <v>5.0999999999999996</v>
      </c>
      <c r="P13">
        <f t="shared" si="1"/>
        <v>3</v>
      </c>
      <c r="Q13">
        <f>P13*Constants!$B$3</f>
        <v>12.599999999999998</v>
      </c>
      <c r="R13">
        <f t="shared" si="7"/>
        <v>7.4999999999999982</v>
      </c>
      <c r="S13">
        <f t="shared" si="2"/>
        <v>11.4</v>
      </c>
      <c r="T13">
        <f>S13*Constants!$B$2</f>
        <v>31.919999999999998</v>
      </c>
      <c r="V13">
        <f t="shared" si="3"/>
        <v>0</v>
      </c>
      <c r="W13">
        <f t="shared" si="4"/>
        <v>0</v>
      </c>
      <c r="AA13" s="8"/>
      <c r="AJ13" s="4"/>
    </row>
    <row r="14" spans="1:40" x14ac:dyDescent="0.25">
      <c r="A14">
        <v>13</v>
      </c>
      <c r="B14">
        <v>7</v>
      </c>
      <c r="C14" t="s">
        <v>49</v>
      </c>
      <c r="D14" s="16" t="s">
        <v>541</v>
      </c>
      <c r="F14">
        <v>26.16</v>
      </c>
      <c r="G14">
        <v>270</v>
      </c>
      <c r="H14">
        <v>3</v>
      </c>
      <c r="I14">
        <f>2*(4.2+3)</f>
        <v>14.4</v>
      </c>
      <c r="L14">
        <f>Constants!$B$2</f>
        <v>2.8</v>
      </c>
      <c r="M14">
        <f t="shared" si="0"/>
        <v>270</v>
      </c>
      <c r="N14">
        <f>P14*Constants!$E$2</f>
        <v>5.0999999999999996</v>
      </c>
      <c r="P14">
        <f t="shared" si="1"/>
        <v>3</v>
      </c>
      <c r="Q14">
        <f>P14*Constants!$B$3</f>
        <v>12.599999999999998</v>
      </c>
      <c r="R14">
        <f t="shared" si="7"/>
        <v>7.4999999999999982</v>
      </c>
      <c r="S14">
        <f t="shared" si="2"/>
        <v>11.4</v>
      </c>
      <c r="T14">
        <f>S14*Constants!$B$2</f>
        <v>31.919999999999998</v>
      </c>
      <c r="V14">
        <f t="shared" si="3"/>
        <v>0</v>
      </c>
      <c r="W14">
        <f t="shared" si="4"/>
        <v>0</v>
      </c>
      <c r="AA14" s="8"/>
      <c r="AJ14" s="4"/>
    </row>
    <row r="15" spans="1:40" x14ac:dyDescent="0.25">
      <c r="A15">
        <v>14</v>
      </c>
      <c r="B15">
        <v>7</v>
      </c>
      <c r="C15" t="s">
        <v>57</v>
      </c>
      <c r="D15" s="16" t="s">
        <v>542</v>
      </c>
      <c r="E15" s="16" t="s">
        <v>541</v>
      </c>
      <c r="F15">
        <v>3.71</v>
      </c>
      <c r="G15" t="s">
        <v>44</v>
      </c>
      <c r="H15">
        <v>0</v>
      </c>
      <c r="I15">
        <v>8.5500000000000007</v>
      </c>
      <c r="L15">
        <f>Constants!$B$2</f>
        <v>2.8</v>
      </c>
      <c r="M15" t="str">
        <f>IF(N15&gt;0,G15,"N/A")</f>
        <v>N/A</v>
      </c>
      <c r="N15">
        <f>P15*Constants!$E$2</f>
        <v>0</v>
      </c>
      <c r="P15">
        <f>H15</f>
        <v>0</v>
      </c>
      <c r="Q15">
        <f>P15*Constants!$B$3</f>
        <v>0</v>
      </c>
      <c r="R15">
        <f t="shared" si="7"/>
        <v>0</v>
      </c>
      <c r="S15">
        <f>I15-P15</f>
        <v>8.5500000000000007</v>
      </c>
      <c r="T15">
        <f>S15*Constants!$B$2</f>
        <v>23.94</v>
      </c>
      <c r="V15">
        <f t="shared" si="3"/>
        <v>0</v>
      </c>
      <c r="W15">
        <f t="shared" si="4"/>
        <v>0</v>
      </c>
      <c r="AA15" s="8"/>
      <c r="AJ15" s="4"/>
    </row>
    <row r="16" spans="1:40" x14ac:dyDescent="0.25">
      <c r="A16">
        <v>15</v>
      </c>
      <c r="B16">
        <v>7</v>
      </c>
      <c r="C16" t="s">
        <v>49</v>
      </c>
      <c r="D16" s="16" t="s">
        <v>543</v>
      </c>
      <c r="F16">
        <v>24.68</v>
      </c>
      <c r="G16">
        <v>270</v>
      </c>
      <c r="H16">
        <v>3.6</v>
      </c>
      <c r="I16">
        <f>2*(7.8+3.6)</f>
        <v>22.8</v>
      </c>
      <c r="L16">
        <f>Constants!$B$2</f>
        <v>2.8</v>
      </c>
      <c r="M16">
        <f>IF(N16&gt;0,G16,"N/A")</f>
        <v>270</v>
      </c>
      <c r="N16">
        <f>P16*Constants!$E$2</f>
        <v>6.12</v>
      </c>
      <c r="P16">
        <f>H16</f>
        <v>3.6</v>
      </c>
      <c r="Q16">
        <f>P16*Constants!$B$3</f>
        <v>15.119999999999997</v>
      </c>
      <c r="R16">
        <f t="shared" si="7"/>
        <v>8.9999999999999964</v>
      </c>
      <c r="S16">
        <f>I16-P16</f>
        <v>19.2</v>
      </c>
      <c r="T16">
        <f>S16*Constants!$B$2</f>
        <v>53.76</v>
      </c>
      <c r="V16">
        <f t="shared" si="3"/>
        <v>0</v>
      </c>
      <c r="W16">
        <f t="shared" si="4"/>
        <v>0</v>
      </c>
      <c r="AA16" s="8"/>
      <c r="AJ16" s="4"/>
    </row>
    <row r="17" spans="1:36" x14ac:dyDescent="0.25">
      <c r="A17">
        <v>16</v>
      </c>
      <c r="B17">
        <v>7</v>
      </c>
      <c r="C17" t="s">
        <v>57</v>
      </c>
      <c r="D17" s="16" t="s">
        <v>544</v>
      </c>
      <c r="E17" s="16" t="s">
        <v>543</v>
      </c>
      <c r="F17">
        <v>3.71</v>
      </c>
      <c r="G17" t="s">
        <v>44</v>
      </c>
      <c r="H17">
        <v>0</v>
      </c>
      <c r="I17">
        <v>8.5500000000000007</v>
      </c>
      <c r="L17">
        <f>Constants!$B$2</f>
        <v>2.8</v>
      </c>
      <c r="M17" t="str">
        <f t="shared" si="0"/>
        <v>N/A</v>
      </c>
      <c r="N17">
        <f>P17*Constants!$E$2</f>
        <v>0</v>
      </c>
      <c r="P17">
        <f t="shared" si="1"/>
        <v>0</v>
      </c>
      <c r="Q17">
        <f>P17*Constants!$B$3</f>
        <v>0</v>
      </c>
      <c r="R17">
        <f t="shared" si="7"/>
        <v>0</v>
      </c>
      <c r="S17">
        <f t="shared" si="2"/>
        <v>8.5500000000000007</v>
      </c>
      <c r="T17">
        <f>S17*Constants!$B$2</f>
        <v>23.94</v>
      </c>
      <c r="V17">
        <f t="shared" si="3"/>
        <v>0</v>
      </c>
      <c r="W17">
        <f t="shared" si="4"/>
        <v>0</v>
      </c>
      <c r="AA17" s="8"/>
      <c r="AJ17" s="4"/>
    </row>
    <row r="18" spans="1:36" x14ac:dyDescent="0.25">
      <c r="A18">
        <v>17</v>
      </c>
      <c r="B18">
        <v>7</v>
      </c>
      <c r="C18" t="s">
        <v>49</v>
      </c>
      <c r="D18" s="16" t="s">
        <v>545</v>
      </c>
      <c r="F18">
        <v>24.68</v>
      </c>
      <c r="G18">
        <v>270</v>
      </c>
      <c r="H18">
        <v>3.6</v>
      </c>
      <c r="I18">
        <f>2*(7.8+3.6)</f>
        <v>22.8</v>
      </c>
      <c r="L18">
        <f>Constants!$B$2</f>
        <v>2.8</v>
      </c>
      <c r="M18">
        <f t="shared" si="0"/>
        <v>270</v>
      </c>
      <c r="N18">
        <f>P18*Constants!$E$2</f>
        <v>6.12</v>
      </c>
      <c r="P18">
        <f t="shared" si="1"/>
        <v>3.6</v>
      </c>
      <c r="Q18">
        <f>P18*Constants!$B$3</f>
        <v>15.119999999999997</v>
      </c>
      <c r="R18">
        <f t="shared" si="7"/>
        <v>8.9999999999999964</v>
      </c>
      <c r="S18">
        <f t="shared" si="2"/>
        <v>19.2</v>
      </c>
      <c r="T18">
        <f>S18*Constants!$B$2</f>
        <v>53.76</v>
      </c>
      <c r="V18">
        <f t="shared" si="3"/>
        <v>0</v>
      </c>
      <c r="W18">
        <f t="shared" si="4"/>
        <v>0</v>
      </c>
      <c r="AA18" s="8"/>
      <c r="AJ18" s="4"/>
    </row>
    <row r="19" spans="1:36" x14ac:dyDescent="0.25">
      <c r="A19">
        <v>18</v>
      </c>
      <c r="B19">
        <v>7</v>
      </c>
      <c r="C19" t="s">
        <v>57</v>
      </c>
      <c r="D19" s="16" t="s">
        <v>546</v>
      </c>
      <c r="E19" s="16" t="s">
        <v>545</v>
      </c>
      <c r="F19">
        <v>3.71</v>
      </c>
      <c r="G19" t="s">
        <v>44</v>
      </c>
      <c r="H19">
        <v>0</v>
      </c>
      <c r="I19">
        <v>8.5500000000000007</v>
      </c>
      <c r="L19">
        <f>Constants!$B$2</f>
        <v>2.8</v>
      </c>
      <c r="M19" t="str">
        <f t="shared" si="0"/>
        <v>N/A</v>
      </c>
      <c r="N19">
        <f>P19*Constants!$E$2</f>
        <v>0</v>
      </c>
      <c r="P19">
        <f t="shared" si="1"/>
        <v>0</v>
      </c>
      <c r="Q19">
        <f>P19*Constants!$B$3</f>
        <v>0</v>
      </c>
      <c r="R19">
        <f t="shared" si="7"/>
        <v>0</v>
      </c>
      <c r="S19">
        <f t="shared" si="2"/>
        <v>8.5500000000000007</v>
      </c>
      <c r="T19">
        <f>S19*Constants!$B$2</f>
        <v>23.94</v>
      </c>
      <c r="V19">
        <f t="shared" si="3"/>
        <v>0</v>
      </c>
      <c r="W19">
        <f t="shared" si="4"/>
        <v>0</v>
      </c>
      <c r="AA19" s="8"/>
      <c r="AJ19" s="4"/>
    </row>
    <row r="20" spans="1:36" x14ac:dyDescent="0.25">
      <c r="A20">
        <v>19</v>
      </c>
      <c r="B20">
        <v>7</v>
      </c>
      <c r="C20" t="s">
        <v>49</v>
      </c>
      <c r="D20" s="16" t="s">
        <v>547</v>
      </c>
      <c r="F20">
        <v>24.86</v>
      </c>
      <c r="G20">
        <v>270</v>
      </c>
      <c r="H20">
        <f>3.3+3.6</f>
        <v>6.9</v>
      </c>
      <c r="I20">
        <f>2*(7.8+3.6)</f>
        <v>22.8</v>
      </c>
      <c r="L20">
        <f>Constants!$B$2</f>
        <v>2.8</v>
      </c>
      <c r="M20">
        <f t="shared" si="0"/>
        <v>270</v>
      </c>
      <c r="N20">
        <f>P20*Constants!$E$2</f>
        <v>11.73</v>
      </c>
      <c r="P20">
        <f t="shared" si="1"/>
        <v>6.9</v>
      </c>
      <c r="Q20">
        <f>P20*Constants!$B$3</f>
        <v>28.979999999999997</v>
      </c>
      <c r="R20">
        <f t="shared" si="7"/>
        <v>17.249999999999996</v>
      </c>
      <c r="S20">
        <f t="shared" si="2"/>
        <v>15.9</v>
      </c>
      <c r="T20">
        <f>S20*Constants!$B$2</f>
        <v>44.519999999999996</v>
      </c>
      <c r="V20">
        <f t="shared" si="3"/>
        <v>0</v>
      </c>
      <c r="W20">
        <f t="shared" si="4"/>
        <v>0</v>
      </c>
      <c r="AA20" s="8"/>
      <c r="AJ20" s="4"/>
    </row>
    <row r="21" spans="1:36" x14ac:dyDescent="0.25">
      <c r="A21">
        <v>20</v>
      </c>
      <c r="B21">
        <v>7</v>
      </c>
      <c r="C21" t="s">
        <v>57</v>
      </c>
      <c r="D21" s="16" t="s">
        <v>548</v>
      </c>
      <c r="E21" s="16" t="s">
        <v>547</v>
      </c>
      <c r="F21">
        <v>3.71</v>
      </c>
      <c r="G21" t="s">
        <v>44</v>
      </c>
      <c r="H21">
        <v>0</v>
      </c>
      <c r="I21">
        <v>8.5500000000000007</v>
      </c>
      <c r="L21">
        <f>Constants!$B$2</f>
        <v>2.8</v>
      </c>
      <c r="M21" t="str">
        <f t="shared" si="0"/>
        <v>N/A</v>
      </c>
      <c r="N21">
        <f>P21*Constants!$E$2</f>
        <v>0</v>
      </c>
      <c r="P21">
        <f t="shared" si="1"/>
        <v>0</v>
      </c>
      <c r="Q21">
        <f>P21*Constants!$B$3</f>
        <v>0</v>
      </c>
      <c r="R21">
        <f t="shared" si="7"/>
        <v>0</v>
      </c>
      <c r="S21">
        <f t="shared" si="2"/>
        <v>8.5500000000000007</v>
      </c>
      <c r="T21">
        <f>S21*Constants!$B$2</f>
        <v>23.94</v>
      </c>
      <c r="V21">
        <f t="shared" si="3"/>
        <v>0</v>
      </c>
      <c r="W21">
        <f t="shared" si="4"/>
        <v>0</v>
      </c>
      <c r="AA21" s="8"/>
      <c r="AJ21" s="4"/>
    </row>
    <row r="22" spans="1:36" x14ac:dyDescent="0.25">
      <c r="A22">
        <v>21</v>
      </c>
      <c r="B22">
        <v>7</v>
      </c>
      <c r="C22" t="s">
        <v>62</v>
      </c>
      <c r="D22" s="16" t="s">
        <v>549</v>
      </c>
      <c r="F22">
        <v>20.76</v>
      </c>
      <c r="G22">
        <v>0</v>
      </c>
      <c r="H22">
        <v>4</v>
      </c>
      <c r="I22">
        <f>2*(4+5.3)</f>
        <v>18.600000000000001</v>
      </c>
      <c r="L22">
        <f>Constants!$B$2</f>
        <v>2.8</v>
      </c>
      <c r="M22">
        <f t="shared" si="0"/>
        <v>0</v>
      </c>
      <c r="N22">
        <f>P22*Constants!$E$2</f>
        <v>6.8</v>
      </c>
      <c r="P22">
        <f t="shared" si="1"/>
        <v>4</v>
      </c>
      <c r="Q22">
        <f>P22*Constants!$B$3</f>
        <v>16.799999999999997</v>
      </c>
      <c r="R22">
        <f t="shared" si="7"/>
        <v>9.9999999999999964</v>
      </c>
      <c r="S22">
        <f t="shared" si="2"/>
        <v>14.600000000000001</v>
      </c>
      <c r="T22">
        <f>S22*Constants!$B$2</f>
        <v>40.880000000000003</v>
      </c>
      <c r="V22">
        <f t="shared" si="3"/>
        <v>0</v>
      </c>
      <c r="W22">
        <f t="shared" si="4"/>
        <v>0</v>
      </c>
      <c r="AA22" s="8"/>
      <c r="AJ22" s="4"/>
    </row>
    <row r="23" spans="1:36" x14ac:dyDescent="0.25">
      <c r="A23">
        <v>22</v>
      </c>
      <c r="B23">
        <v>7</v>
      </c>
      <c r="C23" t="s">
        <v>64</v>
      </c>
      <c r="D23" s="16" t="s">
        <v>550</v>
      </c>
      <c r="F23">
        <v>3.72</v>
      </c>
      <c r="G23">
        <v>90</v>
      </c>
      <c r="H23">
        <v>1.4</v>
      </c>
      <c r="I23">
        <f>2*(3.5+1.4)</f>
        <v>9.8000000000000007</v>
      </c>
      <c r="L23">
        <f>Constants!$B$2</f>
        <v>2.8</v>
      </c>
      <c r="M23">
        <f t="shared" si="0"/>
        <v>90</v>
      </c>
      <c r="N23">
        <f>P23*Constants!$E$2</f>
        <v>2.38</v>
      </c>
      <c r="P23">
        <f t="shared" si="1"/>
        <v>1.4</v>
      </c>
      <c r="Q23">
        <f>P23*Constants!$B$3</f>
        <v>5.879999999999999</v>
      </c>
      <c r="R23">
        <f t="shared" si="7"/>
        <v>3.4999999999999991</v>
      </c>
      <c r="S23">
        <f t="shared" si="2"/>
        <v>8.4</v>
      </c>
      <c r="T23">
        <f>S23*Constants!$B$2</f>
        <v>23.52</v>
      </c>
      <c r="V23">
        <f t="shared" si="3"/>
        <v>0</v>
      </c>
      <c r="W23">
        <f t="shared" si="4"/>
        <v>0</v>
      </c>
      <c r="AA23" s="8"/>
      <c r="AJ23" s="4"/>
    </row>
    <row r="24" spans="1:36" x14ac:dyDescent="0.25">
      <c r="A24">
        <v>23</v>
      </c>
      <c r="B24">
        <v>7</v>
      </c>
      <c r="C24" t="s">
        <v>64</v>
      </c>
      <c r="D24" s="16" t="s">
        <v>551</v>
      </c>
      <c r="F24">
        <v>3.72</v>
      </c>
      <c r="G24">
        <v>90</v>
      </c>
      <c r="H24">
        <v>1.4</v>
      </c>
      <c r="I24">
        <f>2*(3.5+1.4)</f>
        <v>9.8000000000000007</v>
      </c>
      <c r="L24">
        <f>Constants!$B$2</f>
        <v>2.8</v>
      </c>
      <c r="M24">
        <f t="shared" si="0"/>
        <v>90</v>
      </c>
      <c r="N24">
        <f>P24*Constants!$E$2</f>
        <v>2.38</v>
      </c>
      <c r="P24">
        <f t="shared" si="1"/>
        <v>1.4</v>
      </c>
      <c r="Q24">
        <f>P24*Constants!$B$3</f>
        <v>5.879999999999999</v>
      </c>
      <c r="R24">
        <f t="shared" si="7"/>
        <v>3.4999999999999991</v>
      </c>
      <c r="S24">
        <f t="shared" si="2"/>
        <v>8.4</v>
      </c>
      <c r="T24">
        <f>S24*Constants!$B$2</f>
        <v>23.52</v>
      </c>
      <c r="V24">
        <f t="shared" si="3"/>
        <v>0</v>
      </c>
      <c r="W24">
        <f t="shared" si="4"/>
        <v>0</v>
      </c>
      <c r="AA24" s="8"/>
      <c r="AJ24" s="4"/>
    </row>
    <row r="25" spans="1:36" x14ac:dyDescent="0.25">
      <c r="A25">
        <v>24</v>
      </c>
      <c r="B25">
        <v>7</v>
      </c>
      <c r="C25" t="s">
        <v>62</v>
      </c>
      <c r="D25" s="16" t="s">
        <v>552</v>
      </c>
      <c r="F25">
        <v>111.75</v>
      </c>
      <c r="G25" t="s">
        <v>44</v>
      </c>
      <c r="H25">
        <v>0</v>
      </c>
      <c r="I25">
        <v>100.25</v>
      </c>
      <c r="L25">
        <f>Constants!$B$2</f>
        <v>2.8</v>
      </c>
      <c r="M25" t="str">
        <f t="shared" si="0"/>
        <v>N/A</v>
      </c>
      <c r="N25">
        <f>P25*Constants!$E$2</f>
        <v>0</v>
      </c>
      <c r="P25">
        <f t="shared" si="1"/>
        <v>0</v>
      </c>
      <c r="Q25">
        <f>P25*Constants!$B$3</f>
        <v>0</v>
      </c>
      <c r="R25">
        <f t="shared" si="7"/>
        <v>0</v>
      </c>
      <c r="S25">
        <f t="shared" si="2"/>
        <v>100.25</v>
      </c>
      <c r="T25">
        <f>S25*Constants!$B$2</f>
        <v>280.7</v>
      </c>
      <c r="V25">
        <f t="shared" si="3"/>
        <v>0</v>
      </c>
      <c r="W25">
        <f t="shared" si="4"/>
        <v>0</v>
      </c>
      <c r="AA25" s="8"/>
      <c r="AJ25" s="4"/>
    </row>
    <row r="26" spans="1:36" x14ac:dyDescent="0.25">
      <c r="A26">
        <v>25</v>
      </c>
      <c r="B26">
        <v>7</v>
      </c>
      <c r="C26" t="s">
        <v>49</v>
      </c>
      <c r="D26" s="16" t="s">
        <v>553</v>
      </c>
      <c r="E26" s="16"/>
      <c r="F26">
        <v>24.86</v>
      </c>
      <c r="G26">
        <v>90</v>
      </c>
      <c r="H26">
        <f>3.3+3.6</f>
        <v>6.9</v>
      </c>
      <c r="I26">
        <f>2*(7.8+3.6)</f>
        <v>22.8</v>
      </c>
      <c r="L26">
        <f>Constants!$B$2</f>
        <v>2.8</v>
      </c>
      <c r="M26">
        <f t="shared" si="0"/>
        <v>90</v>
      </c>
      <c r="N26">
        <f>P26*Constants!$E$2</f>
        <v>11.73</v>
      </c>
      <c r="P26">
        <f t="shared" si="1"/>
        <v>6.9</v>
      </c>
      <c r="Q26">
        <f>P26*Constants!$B$3</f>
        <v>28.979999999999997</v>
      </c>
      <c r="R26">
        <f t="shared" si="7"/>
        <v>17.249999999999996</v>
      </c>
      <c r="S26">
        <f t="shared" si="2"/>
        <v>15.9</v>
      </c>
      <c r="T26">
        <f>S26*Constants!$B$2</f>
        <v>44.519999999999996</v>
      </c>
      <c r="V26">
        <f t="shared" si="3"/>
        <v>0</v>
      </c>
      <c r="W26">
        <f t="shared" si="4"/>
        <v>0</v>
      </c>
      <c r="AA26" s="8"/>
      <c r="AJ26" s="4"/>
    </row>
    <row r="27" spans="1:36" x14ac:dyDescent="0.25">
      <c r="A27">
        <v>26</v>
      </c>
      <c r="B27">
        <v>7</v>
      </c>
      <c r="C27" t="s">
        <v>57</v>
      </c>
      <c r="D27" s="16" t="s">
        <v>554</v>
      </c>
      <c r="E27" s="16" t="s">
        <v>553</v>
      </c>
      <c r="F27">
        <v>3.71</v>
      </c>
      <c r="G27" t="s">
        <v>44</v>
      </c>
      <c r="H27">
        <v>0</v>
      </c>
      <c r="I27">
        <v>8.5500000000000007</v>
      </c>
      <c r="L27">
        <f>Constants!$B$2</f>
        <v>2.8</v>
      </c>
      <c r="M27" t="str">
        <f t="shared" si="0"/>
        <v>N/A</v>
      </c>
      <c r="N27">
        <f>P27*Constants!$E$2</f>
        <v>0</v>
      </c>
      <c r="P27">
        <f t="shared" si="1"/>
        <v>0</v>
      </c>
      <c r="Q27">
        <f>P27*Constants!$B$3</f>
        <v>0</v>
      </c>
      <c r="R27">
        <f t="shared" si="7"/>
        <v>0</v>
      </c>
      <c r="S27">
        <f t="shared" si="2"/>
        <v>8.5500000000000007</v>
      </c>
      <c r="T27">
        <f>S27*Constants!$B$2</f>
        <v>23.94</v>
      </c>
      <c r="V27">
        <f t="shared" si="3"/>
        <v>0</v>
      </c>
      <c r="W27">
        <f t="shared" si="4"/>
        <v>0</v>
      </c>
      <c r="AA27" s="8"/>
      <c r="AJ27" s="4"/>
    </row>
    <row r="28" spans="1:36" x14ac:dyDescent="0.25">
      <c r="A28">
        <v>27</v>
      </c>
      <c r="B28">
        <v>7</v>
      </c>
      <c r="C28" t="s">
        <v>49</v>
      </c>
      <c r="D28" s="16" t="s">
        <v>555</v>
      </c>
      <c r="E28" s="16"/>
      <c r="F28">
        <v>24.68</v>
      </c>
      <c r="G28">
        <v>90</v>
      </c>
      <c r="H28">
        <v>3.6</v>
      </c>
      <c r="I28">
        <f>2*(7.8+3.6)</f>
        <v>22.8</v>
      </c>
      <c r="L28">
        <f>Constants!$B$2</f>
        <v>2.8</v>
      </c>
      <c r="M28">
        <f t="shared" si="0"/>
        <v>90</v>
      </c>
      <c r="N28">
        <f>P28*Constants!$E$2</f>
        <v>6.12</v>
      </c>
      <c r="P28">
        <f t="shared" si="1"/>
        <v>3.6</v>
      </c>
      <c r="Q28">
        <f>P28*Constants!$B$3</f>
        <v>15.119999999999997</v>
      </c>
      <c r="R28">
        <f t="shared" si="7"/>
        <v>8.9999999999999964</v>
      </c>
      <c r="S28">
        <f t="shared" si="2"/>
        <v>19.2</v>
      </c>
      <c r="T28">
        <f>S28*Constants!$B$2</f>
        <v>53.76</v>
      </c>
      <c r="V28">
        <f t="shared" si="3"/>
        <v>0</v>
      </c>
      <c r="W28">
        <f t="shared" si="4"/>
        <v>0</v>
      </c>
      <c r="AA28" s="8"/>
      <c r="AJ28" s="4"/>
    </row>
    <row r="29" spans="1:36" x14ac:dyDescent="0.25">
      <c r="A29">
        <v>28</v>
      </c>
      <c r="B29">
        <v>7</v>
      </c>
      <c r="C29" t="s">
        <v>57</v>
      </c>
      <c r="D29" s="16" t="s">
        <v>556</v>
      </c>
      <c r="E29" s="16" t="s">
        <v>555</v>
      </c>
      <c r="F29">
        <v>3.71</v>
      </c>
      <c r="G29" t="s">
        <v>44</v>
      </c>
      <c r="H29">
        <v>0</v>
      </c>
      <c r="I29">
        <v>8.5500000000000007</v>
      </c>
      <c r="L29">
        <f>Constants!$B$2</f>
        <v>2.8</v>
      </c>
      <c r="M29" t="str">
        <f t="shared" si="0"/>
        <v>N/A</v>
      </c>
      <c r="N29">
        <f>P29*Constants!$E$2</f>
        <v>0</v>
      </c>
      <c r="P29">
        <f t="shared" si="1"/>
        <v>0</v>
      </c>
      <c r="Q29">
        <f>P29*Constants!$B$3</f>
        <v>0</v>
      </c>
      <c r="R29">
        <f t="shared" si="7"/>
        <v>0</v>
      </c>
      <c r="S29">
        <f t="shared" si="2"/>
        <v>8.5500000000000007</v>
      </c>
      <c r="T29">
        <f>S29*Constants!$B$2</f>
        <v>23.94</v>
      </c>
      <c r="V29">
        <f t="shared" si="3"/>
        <v>0</v>
      </c>
      <c r="W29">
        <f t="shared" si="4"/>
        <v>0</v>
      </c>
      <c r="AA29" s="8"/>
      <c r="AJ29" s="4"/>
    </row>
    <row r="30" spans="1:36" x14ac:dyDescent="0.25">
      <c r="A30">
        <v>29</v>
      </c>
      <c r="B30">
        <v>7</v>
      </c>
      <c r="C30" t="s">
        <v>49</v>
      </c>
      <c r="D30" s="16" t="s">
        <v>557</v>
      </c>
      <c r="E30" s="16"/>
      <c r="F30">
        <v>24.68</v>
      </c>
      <c r="G30">
        <v>90</v>
      </c>
      <c r="H30">
        <v>3.6</v>
      </c>
      <c r="I30">
        <f>2*(7.8+3.6)</f>
        <v>22.8</v>
      </c>
      <c r="L30">
        <f>Constants!$B$2</f>
        <v>2.8</v>
      </c>
      <c r="M30">
        <f t="shared" si="0"/>
        <v>90</v>
      </c>
      <c r="N30">
        <f>P30*Constants!$E$2</f>
        <v>6.12</v>
      </c>
      <c r="P30">
        <f t="shared" si="1"/>
        <v>3.6</v>
      </c>
      <c r="Q30">
        <f>P30*Constants!$B$3</f>
        <v>15.119999999999997</v>
      </c>
      <c r="R30">
        <f t="shared" si="7"/>
        <v>8.9999999999999964</v>
      </c>
      <c r="S30">
        <f t="shared" si="2"/>
        <v>19.2</v>
      </c>
      <c r="T30">
        <f>S30*Constants!$B$2</f>
        <v>53.76</v>
      </c>
      <c r="V30">
        <f t="shared" si="3"/>
        <v>0</v>
      </c>
      <c r="W30">
        <f t="shared" si="4"/>
        <v>0</v>
      </c>
      <c r="AA30" s="8"/>
      <c r="AJ30" s="4"/>
    </row>
    <row r="31" spans="1:36" x14ac:dyDescent="0.25">
      <c r="A31">
        <v>30</v>
      </c>
      <c r="B31">
        <v>7</v>
      </c>
      <c r="C31" t="s">
        <v>57</v>
      </c>
      <c r="D31" s="16" t="s">
        <v>558</v>
      </c>
      <c r="E31" s="16" t="s">
        <v>557</v>
      </c>
      <c r="F31">
        <v>3.71</v>
      </c>
      <c r="G31" t="s">
        <v>44</v>
      </c>
      <c r="H31">
        <v>0</v>
      </c>
      <c r="I31">
        <v>8.5500000000000007</v>
      </c>
      <c r="L31">
        <f>Constants!$B$2</f>
        <v>2.8</v>
      </c>
      <c r="M31" t="str">
        <f t="shared" si="0"/>
        <v>N/A</v>
      </c>
      <c r="N31">
        <f>P31*Constants!$E$2</f>
        <v>0</v>
      </c>
      <c r="P31">
        <f t="shared" si="1"/>
        <v>0</v>
      </c>
      <c r="Q31">
        <f>P31*Constants!$B$3</f>
        <v>0</v>
      </c>
      <c r="R31">
        <f t="shared" si="7"/>
        <v>0</v>
      </c>
      <c r="S31">
        <f t="shared" si="2"/>
        <v>8.5500000000000007</v>
      </c>
      <c r="T31">
        <f>S31*Constants!$B$2</f>
        <v>23.94</v>
      </c>
      <c r="V31">
        <f t="shared" si="3"/>
        <v>0</v>
      </c>
      <c r="W31">
        <f t="shared" si="4"/>
        <v>0</v>
      </c>
      <c r="AA31" s="8"/>
      <c r="AJ31" s="4"/>
    </row>
    <row r="32" spans="1:36" x14ac:dyDescent="0.25">
      <c r="A32">
        <v>31</v>
      </c>
      <c r="B32">
        <v>7</v>
      </c>
      <c r="C32" t="s">
        <v>49</v>
      </c>
      <c r="D32" s="16" t="s">
        <v>559</v>
      </c>
      <c r="E32" s="16"/>
      <c r="F32">
        <v>12.56</v>
      </c>
      <c r="G32">
        <v>90</v>
      </c>
      <c r="H32">
        <v>3</v>
      </c>
      <c r="I32">
        <f>2*(3+5)</f>
        <v>16</v>
      </c>
      <c r="L32">
        <f>Constants!$B$2</f>
        <v>2.8</v>
      </c>
      <c r="M32">
        <f t="shared" si="0"/>
        <v>90</v>
      </c>
      <c r="N32">
        <f>P32*Constants!$E$2</f>
        <v>5.0999999999999996</v>
      </c>
      <c r="P32">
        <f t="shared" si="1"/>
        <v>3</v>
      </c>
      <c r="Q32">
        <f>P32*Constants!$B$3</f>
        <v>12.599999999999998</v>
      </c>
      <c r="R32">
        <f t="shared" si="7"/>
        <v>7.4999999999999982</v>
      </c>
      <c r="S32">
        <f t="shared" si="2"/>
        <v>13</v>
      </c>
      <c r="T32">
        <f>S32*Constants!$B$2</f>
        <v>36.4</v>
      </c>
      <c r="V32">
        <f t="shared" si="3"/>
        <v>0</v>
      </c>
      <c r="W32">
        <f t="shared" si="4"/>
        <v>0</v>
      </c>
      <c r="AA32" s="8"/>
      <c r="AJ32" s="4"/>
    </row>
    <row r="33" spans="1:36" x14ac:dyDescent="0.25">
      <c r="A33">
        <v>32</v>
      </c>
      <c r="B33">
        <v>7</v>
      </c>
      <c r="C33" t="s">
        <v>57</v>
      </c>
      <c r="D33" s="16" t="s">
        <v>572</v>
      </c>
      <c r="E33" s="16" t="s">
        <v>559</v>
      </c>
      <c r="F33">
        <v>3.71</v>
      </c>
      <c r="G33" t="s">
        <v>44</v>
      </c>
      <c r="H33">
        <v>0</v>
      </c>
      <c r="I33">
        <v>8.5500000000000007</v>
      </c>
      <c r="L33">
        <f>Constants!$B$2</f>
        <v>2.8</v>
      </c>
      <c r="M33" t="str">
        <f t="shared" si="0"/>
        <v>N/A</v>
      </c>
      <c r="N33">
        <f>P33*Constants!$E$2</f>
        <v>0</v>
      </c>
      <c r="P33">
        <f t="shared" si="1"/>
        <v>0</v>
      </c>
      <c r="Q33">
        <f>P33*Constants!$B$3</f>
        <v>0</v>
      </c>
      <c r="R33">
        <f t="shared" si="7"/>
        <v>0</v>
      </c>
      <c r="S33">
        <f t="shared" si="2"/>
        <v>8.5500000000000007</v>
      </c>
      <c r="T33">
        <f>S33*Constants!$B$2</f>
        <v>23.94</v>
      </c>
      <c r="V33">
        <f t="shared" si="3"/>
        <v>0</v>
      </c>
      <c r="W33">
        <f t="shared" si="4"/>
        <v>0</v>
      </c>
      <c r="AA33" s="8"/>
      <c r="AJ33" s="4"/>
    </row>
    <row r="34" spans="1:36" x14ac:dyDescent="0.25">
      <c r="A34">
        <v>33</v>
      </c>
      <c r="B34">
        <v>7</v>
      </c>
      <c r="C34" t="s">
        <v>49</v>
      </c>
      <c r="D34" s="16" t="s">
        <v>560</v>
      </c>
      <c r="E34" s="16"/>
      <c r="F34">
        <v>24.89</v>
      </c>
      <c r="G34">
        <v>90</v>
      </c>
      <c r="H34">
        <v>3</v>
      </c>
      <c r="I34">
        <f>2*(7.8+3.6)</f>
        <v>22.8</v>
      </c>
      <c r="L34">
        <f>Constants!$B$2</f>
        <v>2.8</v>
      </c>
      <c r="M34">
        <f t="shared" si="0"/>
        <v>90</v>
      </c>
      <c r="N34">
        <f>P34*Constants!$E$2</f>
        <v>5.0999999999999996</v>
      </c>
      <c r="P34">
        <f t="shared" si="1"/>
        <v>3</v>
      </c>
      <c r="Q34">
        <f>P34*Constants!$B$3</f>
        <v>12.599999999999998</v>
      </c>
      <c r="R34">
        <f t="shared" si="7"/>
        <v>7.4999999999999982</v>
      </c>
      <c r="S34">
        <f t="shared" si="2"/>
        <v>19.8</v>
      </c>
      <c r="T34">
        <f>S34*Constants!$B$2</f>
        <v>55.44</v>
      </c>
      <c r="V34">
        <f t="shared" si="3"/>
        <v>0</v>
      </c>
      <c r="W34">
        <f t="shared" si="4"/>
        <v>0</v>
      </c>
      <c r="AA34" s="8"/>
      <c r="AJ34" s="4"/>
    </row>
    <row r="35" spans="1:36" x14ac:dyDescent="0.25">
      <c r="A35">
        <v>34</v>
      </c>
      <c r="B35">
        <v>7</v>
      </c>
      <c r="C35" t="s">
        <v>45</v>
      </c>
      <c r="D35" s="16" t="s">
        <v>561</v>
      </c>
      <c r="E35" s="16"/>
      <c r="F35">
        <v>7.76</v>
      </c>
      <c r="G35" t="s">
        <v>44</v>
      </c>
      <c r="H35">
        <v>0</v>
      </c>
      <c r="I35">
        <v>17.559999999999999</v>
      </c>
      <c r="L35">
        <f>Constants!$B$2</f>
        <v>2.8</v>
      </c>
      <c r="M35" t="str">
        <f t="shared" si="0"/>
        <v>N/A</v>
      </c>
      <c r="N35">
        <f>P35*Constants!$E$2</f>
        <v>0</v>
      </c>
      <c r="P35">
        <f t="shared" si="1"/>
        <v>0</v>
      </c>
      <c r="Q35">
        <f>P35*Constants!$B$3</f>
        <v>0</v>
      </c>
      <c r="R35">
        <f t="shared" si="7"/>
        <v>0</v>
      </c>
      <c r="S35">
        <f t="shared" si="2"/>
        <v>17.559999999999999</v>
      </c>
      <c r="T35">
        <f>S35*Constants!$B$2</f>
        <v>49.167999999999992</v>
      </c>
      <c r="V35">
        <f t="shared" si="3"/>
        <v>0</v>
      </c>
      <c r="W35">
        <f t="shared" si="4"/>
        <v>0</v>
      </c>
      <c r="AA35" s="8"/>
      <c r="AJ35" s="4"/>
    </row>
    <row r="36" spans="1:36" x14ac:dyDescent="0.25">
      <c r="A36">
        <v>35</v>
      </c>
      <c r="B36">
        <v>7</v>
      </c>
      <c r="C36" t="s">
        <v>49</v>
      </c>
      <c r="D36" s="16" t="s">
        <v>562</v>
      </c>
      <c r="F36">
        <v>11.64</v>
      </c>
      <c r="G36">
        <v>90</v>
      </c>
      <c r="H36">
        <v>3</v>
      </c>
      <c r="I36">
        <f>2*(3+4.2)</f>
        <v>14.4</v>
      </c>
      <c r="L36">
        <f>Constants!$B$2</f>
        <v>2.8</v>
      </c>
      <c r="M36">
        <f t="shared" si="0"/>
        <v>90</v>
      </c>
      <c r="N36">
        <f>P36*Constants!$E$2</f>
        <v>5.0999999999999996</v>
      </c>
      <c r="P36">
        <f t="shared" si="1"/>
        <v>3</v>
      </c>
      <c r="Q36">
        <f>P36*Constants!$B$3</f>
        <v>12.599999999999998</v>
      </c>
      <c r="R36">
        <f t="shared" si="7"/>
        <v>7.4999999999999982</v>
      </c>
      <c r="S36">
        <f t="shared" si="2"/>
        <v>11.4</v>
      </c>
      <c r="T36">
        <f>S36*Constants!$B$2</f>
        <v>31.919999999999998</v>
      </c>
      <c r="V36">
        <f t="shared" si="3"/>
        <v>0</v>
      </c>
      <c r="W36">
        <f t="shared" si="4"/>
        <v>0</v>
      </c>
      <c r="AA36" s="8"/>
      <c r="AJ36" s="4"/>
    </row>
    <row r="37" spans="1:36" x14ac:dyDescent="0.25">
      <c r="A37">
        <v>36</v>
      </c>
      <c r="B37">
        <v>7</v>
      </c>
      <c r="C37" t="s">
        <v>49</v>
      </c>
      <c r="D37" s="16" t="s">
        <v>563</v>
      </c>
      <c r="F37">
        <v>25.98</v>
      </c>
      <c r="G37">
        <v>90</v>
      </c>
      <c r="H37">
        <v>3</v>
      </c>
      <c r="I37">
        <f>2*(3+5)</f>
        <v>16</v>
      </c>
      <c r="L37">
        <f>Constants!$B$2</f>
        <v>2.8</v>
      </c>
      <c r="M37">
        <f t="shared" si="0"/>
        <v>90</v>
      </c>
      <c r="N37">
        <f>P37*Constants!$E$2</f>
        <v>5.0999999999999996</v>
      </c>
      <c r="P37">
        <f t="shared" si="1"/>
        <v>3</v>
      </c>
      <c r="Q37">
        <f>P37*Constants!$B$3</f>
        <v>12.599999999999998</v>
      </c>
      <c r="R37">
        <f t="shared" si="7"/>
        <v>7.4999999999999982</v>
      </c>
      <c r="S37">
        <f t="shared" si="2"/>
        <v>13</v>
      </c>
      <c r="T37">
        <f>S37*Constants!$B$2</f>
        <v>36.4</v>
      </c>
      <c r="V37">
        <f t="shared" si="3"/>
        <v>0</v>
      </c>
      <c r="W37">
        <f t="shared" si="4"/>
        <v>0</v>
      </c>
      <c r="AA37" s="8"/>
      <c r="AJ37" s="4"/>
    </row>
    <row r="38" spans="1:36" x14ac:dyDescent="0.25">
      <c r="A38">
        <v>37</v>
      </c>
      <c r="B38">
        <v>7</v>
      </c>
      <c r="C38" t="s">
        <v>57</v>
      </c>
      <c r="D38" s="16" t="s">
        <v>564</v>
      </c>
      <c r="E38" s="16" t="s">
        <v>563</v>
      </c>
      <c r="F38">
        <v>3.71</v>
      </c>
      <c r="G38" t="s">
        <v>44</v>
      </c>
      <c r="H38">
        <v>0</v>
      </c>
      <c r="I38">
        <v>8.5500000000000007</v>
      </c>
      <c r="L38">
        <f>Constants!$B$2</f>
        <v>2.8</v>
      </c>
      <c r="M38" t="str">
        <f t="shared" ref="M38:M39" si="12">IF(N38&gt;0,G38,"N/A")</f>
        <v>N/A</v>
      </c>
      <c r="N38">
        <f>P38*Constants!$E$2</f>
        <v>0</v>
      </c>
      <c r="P38">
        <f t="shared" ref="P38:P39" si="13">H38</f>
        <v>0</v>
      </c>
      <c r="Q38">
        <f>P38*Constants!$B$3</f>
        <v>0</v>
      </c>
      <c r="R38">
        <f t="shared" ref="R38:R39" si="14">IF(Q38-N38&lt;=0, 0, Q38-N38)</f>
        <v>0</v>
      </c>
      <c r="S38">
        <f t="shared" ref="S38:S39" si="15">I38-P38</f>
        <v>8.5500000000000007</v>
      </c>
      <c r="T38">
        <f>S38*Constants!$B$2</f>
        <v>23.94</v>
      </c>
      <c r="V38">
        <f t="shared" ref="V38:V39" si="16">IF(B38="E",1,0)</f>
        <v>0</v>
      </c>
      <c r="W38">
        <f t="shared" ref="W38:W39" si="17">IF(B38=10,1,0)</f>
        <v>0</v>
      </c>
      <c r="AA38" s="8"/>
      <c r="AJ38" s="4"/>
    </row>
    <row r="39" spans="1:36" x14ac:dyDescent="0.25">
      <c r="A39">
        <v>38</v>
      </c>
      <c r="B39">
        <v>7</v>
      </c>
      <c r="C39" t="s">
        <v>49</v>
      </c>
      <c r="D39" s="16" t="s">
        <v>565</v>
      </c>
      <c r="F39">
        <v>24.68</v>
      </c>
      <c r="G39">
        <v>90</v>
      </c>
      <c r="H39">
        <v>3.6</v>
      </c>
      <c r="I39">
        <f>2*(7.8+3.6)</f>
        <v>22.8</v>
      </c>
      <c r="L39">
        <f>Constants!$B$2</f>
        <v>2.8</v>
      </c>
      <c r="M39">
        <f t="shared" si="12"/>
        <v>90</v>
      </c>
      <c r="N39">
        <f>P39*Constants!$E$2</f>
        <v>6.12</v>
      </c>
      <c r="P39">
        <f t="shared" si="13"/>
        <v>3.6</v>
      </c>
      <c r="Q39">
        <f>P39*Constants!$B$3</f>
        <v>15.119999999999997</v>
      </c>
      <c r="R39">
        <f t="shared" si="14"/>
        <v>8.9999999999999964</v>
      </c>
      <c r="S39">
        <f t="shared" si="15"/>
        <v>19.2</v>
      </c>
      <c r="T39">
        <f>S39*Constants!$B$2</f>
        <v>53.76</v>
      </c>
      <c r="V39">
        <f t="shared" si="16"/>
        <v>0</v>
      </c>
      <c r="W39">
        <f t="shared" si="17"/>
        <v>0</v>
      </c>
      <c r="AA39" s="8"/>
      <c r="AJ39" s="4"/>
    </row>
    <row r="40" spans="1:36" x14ac:dyDescent="0.25">
      <c r="A40">
        <v>39</v>
      </c>
      <c r="B40">
        <v>7</v>
      </c>
      <c r="C40" t="s">
        <v>57</v>
      </c>
      <c r="D40" s="16" t="s">
        <v>566</v>
      </c>
      <c r="E40" s="16" t="s">
        <v>565</v>
      </c>
      <c r="F40">
        <v>3.71</v>
      </c>
      <c r="G40" t="s">
        <v>44</v>
      </c>
      <c r="H40">
        <v>0</v>
      </c>
      <c r="I40">
        <v>8.5500000000000007</v>
      </c>
      <c r="L40">
        <f>Constants!$B$2</f>
        <v>2.8</v>
      </c>
      <c r="M40" t="str">
        <f t="shared" ref="M40:M41" si="18">IF(N40&gt;0,G40,"N/A")</f>
        <v>N/A</v>
      </c>
      <c r="N40">
        <f>P40*Constants!$E$2</f>
        <v>0</v>
      </c>
      <c r="P40">
        <f t="shared" ref="P40:P41" si="19">H40</f>
        <v>0</v>
      </c>
      <c r="Q40">
        <f>P40*Constants!$B$3</f>
        <v>0</v>
      </c>
      <c r="R40">
        <f t="shared" ref="R40:R41" si="20">IF(Q40-N40&lt;=0, 0, Q40-N40)</f>
        <v>0</v>
      </c>
      <c r="S40">
        <f t="shared" ref="S40:S41" si="21">I40-P40</f>
        <v>8.5500000000000007</v>
      </c>
      <c r="T40">
        <f>S40*Constants!$B$2</f>
        <v>23.94</v>
      </c>
      <c r="V40">
        <f t="shared" ref="V40:V41" si="22">IF(B40="E",1,0)</f>
        <v>0</v>
      </c>
      <c r="W40">
        <f t="shared" ref="W40:W41" si="23">IF(B40=10,1,0)</f>
        <v>0</v>
      </c>
      <c r="AA40" s="8"/>
      <c r="AJ40" s="4"/>
    </row>
    <row r="41" spans="1:36" x14ac:dyDescent="0.25">
      <c r="A41">
        <v>40</v>
      </c>
      <c r="B41">
        <v>7</v>
      </c>
      <c r="C41" t="s">
        <v>49</v>
      </c>
      <c r="D41" s="16" t="s">
        <v>567</v>
      </c>
      <c r="F41">
        <v>24.68</v>
      </c>
      <c r="G41">
        <v>90</v>
      </c>
      <c r="H41">
        <v>3.6</v>
      </c>
      <c r="I41">
        <f>2*(7.8+3.6)</f>
        <v>22.8</v>
      </c>
      <c r="L41">
        <f>Constants!$B$2</f>
        <v>2.8</v>
      </c>
      <c r="M41">
        <f t="shared" si="18"/>
        <v>90</v>
      </c>
      <c r="N41">
        <f>P41*Constants!$E$2</f>
        <v>6.12</v>
      </c>
      <c r="P41">
        <f t="shared" si="19"/>
        <v>3.6</v>
      </c>
      <c r="Q41">
        <f>P41*Constants!$B$3</f>
        <v>15.119999999999997</v>
      </c>
      <c r="R41">
        <f t="shared" si="20"/>
        <v>8.9999999999999964</v>
      </c>
      <c r="S41">
        <f t="shared" si="21"/>
        <v>19.2</v>
      </c>
      <c r="T41">
        <f>S41*Constants!$B$2</f>
        <v>53.76</v>
      </c>
      <c r="V41">
        <f t="shared" si="22"/>
        <v>0</v>
      </c>
      <c r="W41">
        <f t="shared" si="23"/>
        <v>0</v>
      </c>
      <c r="AA41" s="8"/>
      <c r="AJ41" s="4"/>
    </row>
    <row r="42" spans="1:36" x14ac:dyDescent="0.25">
      <c r="A42">
        <v>41</v>
      </c>
      <c r="B42">
        <v>7</v>
      </c>
      <c r="C42" t="s">
        <v>57</v>
      </c>
      <c r="D42" s="16" t="s">
        <v>568</v>
      </c>
      <c r="E42" s="16" t="s">
        <v>567</v>
      </c>
      <c r="F42">
        <v>3.71</v>
      </c>
      <c r="G42" t="s">
        <v>44</v>
      </c>
      <c r="H42">
        <v>0</v>
      </c>
      <c r="I42">
        <v>8.5500000000000007</v>
      </c>
      <c r="L42">
        <f>Constants!$B$2</f>
        <v>2.8</v>
      </c>
      <c r="M42" t="str">
        <f t="shared" ref="M42" si="24">IF(N42&gt;0,G42,"N/A")</f>
        <v>N/A</v>
      </c>
      <c r="N42">
        <f>P42*Constants!$E$2</f>
        <v>0</v>
      </c>
      <c r="P42">
        <f t="shared" ref="P42" si="25">H42</f>
        <v>0</v>
      </c>
      <c r="Q42">
        <f>P42*Constants!$B$3</f>
        <v>0</v>
      </c>
      <c r="R42">
        <f t="shared" ref="R42" si="26">IF(Q42-N42&lt;=0, 0, Q42-N42)</f>
        <v>0</v>
      </c>
      <c r="S42">
        <f t="shared" ref="S42" si="27">I42-P42</f>
        <v>8.5500000000000007</v>
      </c>
      <c r="T42">
        <f>S42*Constants!$B$2</f>
        <v>23.94</v>
      </c>
      <c r="V42">
        <f t="shared" ref="V42" si="28">IF(B42="E",1,0)</f>
        <v>0</v>
      </c>
      <c r="W42">
        <f t="shared" ref="W42" si="29">IF(B42=10,1,0)</f>
        <v>0</v>
      </c>
      <c r="AA42" s="8"/>
      <c r="AJ42" s="4"/>
    </row>
    <row r="43" spans="1:36" x14ac:dyDescent="0.25">
      <c r="A43">
        <v>42</v>
      </c>
      <c r="B43">
        <v>7</v>
      </c>
      <c r="C43" t="s">
        <v>49</v>
      </c>
      <c r="D43" s="16" t="s">
        <v>569</v>
      </c>
      <c r="F43">
        <v>24.86</v>
      </c>
      <c r="G43">
        <v>90</v>
      </c>
      <c r="H43">
        <v>3.6</v>
      </c>
      <c r="I43">
        <f>2*(7.8+3.6)</f>
        <v>22.8</v>
      </c>
      <c r="L43">
        <f>Constants!$B$2</f>
        <v>2.8</v>
      </c>
      <c r="M43">
        <f t="shared" ref="M43:M44" si="30">IF(N43&gt;0,G43,"N/A")</f>
        <v>90</v>
      </c>
      <c r="N43">
        <f>P43*Constants!$E$2</f>
        <v>6.12</v>
      </c>
      <c r="P43">
        <f t="shared" ref="P43:P44" si="31">H43</f>
        <v>3.6</v>
      </c>
      <c r="Q43">
        <f>P43*Constants!$B$3</f>
        <v>15.119999999999997</v>
      </c>
      <c r="R43">
        <f t="shared" ref="R43:R44" si="32">IF(Q43-N43&lt;=0, 0, Q43-N43)</f>
        <v>8.9999999999999964</v>
      </c>
      <c r="S43">
        <f t="shared" ref="S43:S44" si="33">I43-P43</f>
        <v>19.2</v>
      </c>
      <c r="T43">
        <f>S43*Constants!$B$2</f>
        <v>53.76</v>
      </c>
      <c r="V43">
        <f t="shared" ref="V43:V44" si="34">IF(B43="E",1,0)</f>
        <v>0</v>
      </c>
      <c r="W43">
        <f t="shared" ref="W43:W44" si="35">IF(B43=10,1,0)</f>
        <v>0</v>
      </c>
      <c r="AA43" s="8"/>
      <c r="AJ43" s="4"/>
    </row>
    <row r="44" spans="1:36" x14ac:dyDescent="0.25">
      <c r="A44">
        <v>43</v>
      </c>
      <c r="B44">
        <v>7</v>
      </c>
      <c r="C44" t="s">
        <v>57</v>
      </c>
      <c r="D44" s="16" t="s">
        <v>570</v>
      </c>
      <c r="E44" s="16" t="s">
        <v>569</v>
      </c>
      <c r="F44">
        <v>3.71</v>
      </c>
      <c r="G44" t="s">
        <v>44</v>
      </c>
      <c r="H44">
        <v>0</v>
      </c>
      <c r="I44">
        <v>8.5500000000000007</v>
      </c>
      <c r="L44">
        <f>Constants!$B$2</f>
        <v>2.8</v>
      </c>
      <c r="M44" t="str">
        <f t="shared" si="30"/>
        <v>N/A</v>
      </c>
      <c r="N44">
        <f>P44*Constants!$E$2</f>
        <v>0</v>
      </c>
      <c r="P44">
        <f t="shared" si="31"/>
        <v>0</v>
      </c>
      <c r="Q44">
        <f>P44*Constants!$B$3</f>
        <v>0</v>
      </c>
      <c r="R44">
        <f t="shared" si="32"/>
        <v>0</v>
      </c>
      <c r="S44">
        <f t="shared" si="33"/>
        <v>8.5500000000000007</v>
      </c>
      <c r="T44">
        <f>S44*Constants!$B$2</f>
        <v>23.94</v>
      </c>
      <c r="V44">
        <f t="shared" si="34"/>
        <v>0</v>
      </c>
      <c r="W44">
        <f t="shared" si="35"/>
        <v>0</v>
      </c>
      <c r="AA44" s="8"/>
      <c r="AJ44" s="4"/>
    </row>
    <row r="45" spans="1:36" x14ac:dyDescent="0.25">
      <c r="A45">
        <v>44</v>
      </c>
      <c r="B45">
        <v>7</v>
      </c>
      <c r="C45" t="s">
        <v>59</v>
      </c>
      <c r="D45" s="16" t="s">
        <v>571</v>
      </c>
      <c r="F45">
        <v>13.25</v>
      </c>
      <c r="G45" t="s">
        <v>44</v>
      </c>
      <c r="H45">
        <v>0</v>
      </c>
      <c r="I45">
        <f>2*(4.8+3)</f>
        <v>15.6</v>
      </c>
      <c r="L45">
        <f>Constants!$B$2</f>
        <v>2.8</v>
      </c>
      <c r="M45" t="str">
        <f t="shared" si="0"/>
        <v>N/A</v>
      </c>
      <c r="N45">
        <f>P45*Constants!$E$2</f>
        <v>0</v>
      </c>
      <c r="P45">
        <f t="shared" si="1"/>
        <v>0</v>
      </c>
      <c r="Q45">
        <f>P45*Constants!$B$3</f>
        <v>0</v>
      </c>
      <c r="R45">
        <f t="shared" si="7"/>
        <v>0</v>
      </c>
      <c r="S45">
        <f t="shared" si="2"/>
        <v>15.6</v>
      </c>
      <c r="T45">
        <f>S45*Constants!$B$2</f>
        <v>43.68</v>
      </c>
      <c r="V45">
        <f t="shared" si="3"/>
        <v>0</v>
      </c>
      <c r="W45">
        <f t="shared" si="4"/>
        <v>0</v>
      </c>
      <c r="AA45" s="8"/>
      <c r="AJ45" s="4"/>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4"/>
    </row>
    <row r="448" spans="4:4" x14ac:dyDescent="0.25">
      <c r="D448" s="14"/>
    </row>
    <row r="449" spans="4:4" x14ac:dyDescent="0.25">
      <c r="D449" s="13"/>
    </row>
    <row r="450" spans="4:4" x14ac:dyDescent="0.25">
      <c r="D450" s="13"/>
    </row>
    <row r="451" spans="4:4" x14ac:dyDescent="0.25">
      <c r="D451" s="13"/>
    </row>
    <row r="452" spans="4:4" x14ac:dyDescent="0.25">
      <c r="D452" s="13"/>
    </row>
    <row r="453" spans="4:4" x14ac:dyDescent="0.25">
      <c r="D453" s="13"/>
    </row>
    <row r="454" spans="4:4" x14ac:dyDescent="0.25">
      <c r="D454" s="13"/>
    </row>
    <row r="455" spans="4:4" x14ac:dyDescent="0.25">
      <c r="D455" s="13"/>
    </row>
    <row r="456" spans="4:4" x14ac:dyDescent="0.25">
      <c r="D456" s="13"/>
    </row>
  </sheetData>
  <pageMargins left="0.7" right="0.7" top="0.78740157499999996" bottom="0.78740157499999996" header="0.3" footer="0.3"/>
  <pageSetup paperSize="9"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1"/>
  <sheetViews>
    <sheetView zoomScaleNormal="100" workbookViewId="0">
      <pane xSplit="4" ySplit="1" topLeftCell="I8" activePane="bottomRight" state="frozen"/>
      <selection pane="topRight" activeCell="F1" sqref="F1"/>
      <selection pane="bottomLeft" activeCell="A2" sqref="A2"/>
      <selection pane="bottomRight" activeCell="C19" sqref="C19"/>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59</v>
      </c>
      <c r="D2" s="16" t="s">
        <v>573</v>
      </c>
      <c r="F2">
        <v>14.69</v>
      </c>
      <c r="G2" t="s">
        <v>44</v>
      </c>
      <c r="H2">
        <v>0</v>
      </c>
      <c r="I2">
        <f>2*1.2*(3+4)</f>
        <v>16.8</v>
      </c>
      <c r="L2">
        <f>Constants!$B$2</f>
        <v>2.8</v>
      </c>
      <c r="M2" t="str">
        <f t="shared" ref="M2:M40" si="0">IF(N2&gt;0,G2,"N/A")</f>
        <v>N/A</v>
      </c>
      <c r="N2">
        <f>P2*Constants!$E$2</f>
        <v>0</v>
      </c>
      <c r="P2">
        <f>H2</f>
        <v>0</v>
      </c>
      <c r="Q2">
        <f>P2*Constants!$B$3</f>
        <v>0</v>
      </c>
      <c r="R2">
        <f>IF(Q2-N2&lt;=0, 0, Q2-N2)</f>
        <v>0</v>
      </c>
      <c r="S2">
        <f>I2-P2</f>
        <v>16.8</v>
      </c>
      <c r="T2">
        <f>S2*Constants!$B$2</f>
        <v>47.04</v>
      </c>
      <c r="V2">
        <f>IF(B2="E",1,0)</f>
        <v>0</v>
      </c>
      <c r="W2">
        <f>IF(B2=10,1,0)</f>
        <v>0</v>
      </c>
      <c r="AA2" s="8"/>
      <c r="AJ2" s="4"/>
    </row>
    <row r="3" spans="1:40" x14ac:dyDescent="0.25">
      <c r="A3">
        <v>2</v>
      </c>
      <c r="B3">
        <v>7</v>
      </c>
      <c r="C3" t="s">
        <v>49</v>
      </c>
      <c r="D3" s="16" t="s">
        <v>574</v>
      </c>
      <c r="F3">
        <v>24.86</v>
      </c>
      <c r="G3" t="s">
        <v>44</v>
      </c>
      <c r="H3">
        <v>0</v>
      </c>
      <c r="I3">
        <f>2*(7.8+3.6)</f>
        <v>22.8</v>
      </c>
      <c r="L3">
        <f>Constants!$B$2</f>
        <v>2.8</v>
      </c>
      <c r="M3" t="str">
        <f t="shared" si="0"/>
        <v>N/A</v>
      </c>
      <c r="N3">
        <f>P3*Constants!$E$2</f>
        <v>0</v>
      </c>
      <c r="P3">
        <f t="shared" ref="P3:P40" si="1">H3</f>
        <v>0</v>
      </c>
      <c r="Q3">
        <f>P3*Constants!$B$3</f>
        <v>0</v>
      </c>
      <c r="R3">
        <f>IF(Q3-N3&lt;=0, 0, Q3-N3)</f>
        <v>0</v>
      </c>
      <c r="S3">
        <f t="shared" ref="S3:S40" si="2">I3-P3</f>
        <v>22.8</v>
      </c>
      <c r="T3">
        <f>S3*Constants!$B$2</f>
        <v>63.839999999999996</v>
      </c>
      <c r="V3">
        <f t="shared" ref="V3:V40" si="3">IF(B3="E",1,0)</f>
        <v>0</v>
      </c>
      <c r="W3">
        <f t="shared" ref="W3:W40" si="4">IF(B3=10,1,0)</f>
        <v>0</v>
      </c>
      <c r="AA3" s="8"/>
      <c r="AJ3" s="4"/>
    </row>
    <row r="4" spans="1:40" x14ac:dyDescent="0.25">
      <c r="A4">
        <v>3</v>
      </c>
      <c r="B4">
        <v>7</v>
      </c>
      <c r="C4" t="s">
        <v>57</v>
      </c>
      <c r="D4" s="16" t="s">
        <v>575</v>
      </c>
      <c r="E4" s="16" t="s">
        <v>574</v>
      </c>
      <c r="F4">
        <v>3.71</v>
      </c>
      <c r="G4" t="s">
        <v>44</v>
      </c>
      <c r="H4">
        <v>0</v>
      </c>
      <c r="I4">
        <f>2*1.2*(1+2.1)</f>
        <v>7.4399999999999995</v>
      </c>
      <c r="L4">
        <f>Constants!$B$2</f>
        <v>2.8</v>
      </c>
      <c r="M4" t="str">
        <f t="shared" si="0"/>
        <v>N/A</v>
      </c>
      <c r="N4">
        <f>P4*Constants!$E$2</f>
        <v>0</v>
      </c>
      <c r="P4">
        <f>H4</f>
        <v>0</v>
      </c>
      <c r="Q4">
        <f>P4*Constants!$B$3</f>
        <v>0</v>
      </c>
      <c r="R4">
        <f t="shared" ref="R4:R40" si="5">IF(Q4-N4&lt;=0, 0, Q4-N4)</f>
        <v>0</v>
      </c>
      <c r="S4">
        <f>I4-P4</f>
        <v>7.4399999999999995</v>
      </c>
      <c r="T4">
        <f>S4*Constants!$B$2</f>
        <v>20.831999999999997</v>
      </c>
      <c r="V4">
        <f>IF(B4="E",1,0)</f>
        <v>0</v>
      </c>
      <c r="W4">
        <f>IF(B4=10,1,0)</f>
        <v>0</v>
      </c>
      <c r="AA4" s="8"/>
      <c r="AJ4" s="4"/>
    </row>
    <row r="5" spans="1:40" x14ac:dyDescent="0.25">
      <c r="A5">
        <v>4</v>
      </c>
      <c r="B5">
        <v>7</v>
      </c>
      <c r="C5" t="s">
        <v>49</v>
      </c>
      <c r="D5" s="16" t="s">
        <v>576</v>
      </c>
      <c r="F5">
        <v>24.68</v>
      </c>
      <c r="G5">
        <v>270</v>
      </c>
      <c r="H5">
        <v>3.6</v>
      </c>
      <c r="I5">
        <f>2*(7.8+3.6)</f>
        <v>22.8</v>
      </c>
      <c r="L5">
        <f>Constants!$B$2</f>
        <v>2.8</v>
      </c>
      <c r="M5">
        <f t="shared" si="0"/>
        <v>270</v>
      </c>
      <c r="N5">
        <f>P5*Constants!$E$2</f>
        <v>6.12</v>
      </c>
      <c r="P5">
        <f t="shared" si="1"/>
        <v>3.6</v>
      </c>
      <c r="Q5">
        <f>P5*Constants!$B$3</f>
        <v>15.119999999999997</v>
      </c>
      <c r="R5">
        <f t="shared" si="5"/>
        <v>8.9999999999999964</v>
      </c>
      <c r="S5">
        <f t="shared" si="2"/>
        <v>19.2</v>
      </c>
      <c r="T5">
        <f>S5*Constants!$B$2</f>
        <v>53.76</v>
      </c>
      <c r="V5">
        <f t="shared" si="3"/>
        <v>0</v>
      </c>
      <c r="W5">
        <f t="shared" si="4"/>
        <v>0</v>
      </c>
      <c r="AA5" s="8"/>
      <c r="AJ5" s="4"/>
    </row>
    <row r="6" spans="1:40" x14ac:dyDescent="0.25">
      <c r="A6">
        <v>5</v>
      </c>
      <c r="B6">
        <v>7</v>
      </c>
      <c r="C6" t="s">
        <v>57</v>
      </c>
      <c r="D6" s="16" t="s">
        <v>577</v>
      </c>
      <c r="E6" s="16" t="s">
        <v>576</v>
      </c>
      <c r="F6">
        <v>3.71</v>
      </c>
      <c r="G6" t="s">
        <v>44</v>
      </c>
      <c r="H6">
        <v>0</v>
      </c>
      <c r="I6">
        <f>2*1.2*(1+2.1)</f>
        <v>7.4399999999999995</v>
      </c>
      <c r="L6">
        <f>Constants!$B$2</f>
        <v>2.8</v>
      </c>
      <c r="M6" t="str">
        <f t="shared" si="0"/>
        <v>N/A</v>
      </c>
      <c r="N6">
        <f>P6*Constants!$E$2</f>
        <v>0</v>
      </c>
      <c r="P6">
        <f>H6</f>
        <v>0</v>
      </c>
      <c r="Q6">
        <f>P6*Constants!$B$3</f>
        <v>0</v>
      </c>
      <c r="R6">
        <f t="shared" si="5"/>
        <v>0</v>
      </c>
      <c r="S6">
        <f>I6-P6</f>
        <v>7.4399999999999995</v>
      </c>
      <c r="T6">
        <f>S6*Constants!$B$2</f>
        <v>20.831999999999997</v>
      </c>
      <c r="V6">
        <f>IF(B6="E",1,0)</f>
        <v>0</v>
      </c>
      <c r="W6">
        <f>IF(B6=10,1,0)</f>
        <v>0</v>
      </c>
      <c r="AA6" s="8"/>
      <c r="AJ6" s="4"/>
    </row>
    <row r="7" spans="1:40" x14ac:dyDescent="0.25">
      <c r="A7">
        <v>6</v>
      </c>
      <c r="B7">
        <v>7</v>
      </c>
      <c r="C7" t="s">
        <v>49</v>
      </c>
      <c r="D7" s="16" t="s">
        <v>578</v>
      </c>
      <c r="F7">
        <v>42.82</v>
      </c>
      <c r="G7">
        <v>270</v>
      </c>
      <c r="H7">
        <f>1.2*5</f>
        <v>6</v>
      </c>
      <c r="I7">
        <f>2*1.2*(5+6.5)</f>
        <v>27.599999999999998</v>
      </c>
      <c r="L7">
        <f>Constants!$B$2</f>
        <v>2.8</v>
      </c>
      <c r="M7">
        <f t="shared" si="0"/>
        <v>270</v>
      </c>
      <c r="N7">
        <f>P7*Constants!$E$2</f>
        <v>10.199999999999999</v>
      </c>
      <c r="P7">
        <f t="shared" ref="P7:P8" si="6">H7</f>
        <v>6</v>
      </c>
      <c r="Q7">
        <f>P7*Constants!$B$3</f>
        <v>25.199999999999996</v>
      </c>
      <c r="R7">
        <f t="shared" si="5"/>
        <v>14.999999999999996</v>
      </c>
      <c r="S7">
        <f t="shared" ref="S7:S8" si="7">I7-P7</f>
        <v>21.599999999999998</v>
      </c>
      <c r="T7">
        <f>S7*Constants!$B$2</f>
        <v>60.47999999999999</v>
      </c>
      <c r="V7">
        <f t="shared" ref="V7:V8" si="8">IF(B7="E",1,0)</f>
        <v>0</v>
      </c>
      <c r="W7">
        <f t="shared" ref="W7:W8" si="9">IF(B7=10,1,0)</f>
        <v>0</v>
      </c>
      <c r="AA7" s="8"/>
      <c r="AJ7" s="4"/>
    </row>
    <row r="8" spans="1:40" x14ac:dyDescent="0.25">
      <c r="A8">
        <v>7</v>
      </c>
      <c r="B8">
        <v>7</v>
      </c>
      <c r="C8" t="s">
        <v>57</v>
      </c>
      <c r="D8" s="16" t="s">
        <v>579</v>
      </c>
      <c r="E8" s="16" t="s">
        <v>578</v>
      </c>
      <c r="F8">
        <v>3.71</v>
      </c>
      <c r="G8" t="s">
        <v>44</v>
      </c>
      <c r="H8">
        <v>0</v>
      </c>
      <c r="I8">
        <f>2*1.2*(1+2.1)</f>
        <v>7.4399999999999995</v>
      </c>
      <c r="L8">
        <f>Constants!$B$2</f>
        <v>2.8</v>
      </c>
      <c r="M8" t="str">
        <f t="shared" si="0"/>
        <v>N/A</v>
      </c>
      <c r="N8">
        <f>P8*Constants!$E$2</f>
        <v>0</v>
      </c>
      <c r="P8">
        <f t="shared" si="6"/>
        <v>0</v>
      </c>
      <c r="Q8">
        <f>P8*Constants!$B$3</f>
        <v>0</v>
      </c>
      <c r="R8">
        <f t="shared" si="5"/>
        <v>0</v>
      </c>
      <c r="S8">
        <f t="shared" si="7"/>
        <v>7.4399999999999995</v>
      </c>
      <c r="T8">
        <f>S8*Constants!$B$2</f>
        <v>20.831999999999997</v>
      </c>
      <c r="V8">
        <f t="shared" si="8"/>
        <v>0</v>
      </c>
      <c r="W8">
        <f t="shared" si="9"/>
        <v>0</v>
      </c>
      <c r="AA8" s="8"/>
      <c r="AJ8" s="4"/>
    </row>
    <row r="9" spans="1:40" x14ac:dyDescent="0.25">
      <c r="A9">
        <v>8</v>
      </c>
      <c r="B9">
        <v>7</v>
      </c>
      <c r="C9" t="s">
        <v>54</v>
      </c>
      <c r="D9" s="16" t="s">
        <v>580</v>
      </c>
      <c r="F9">
        <v>24.61</v>
      </c>
      <c r="G9">
        <v>270</v>
      </c>
      <c r="H9">
        <v>3.6</v>
      </c>
      <c r="I9">
        <f>2*(7.8+3.6)</f>
        <v>22.8</v>
      </c>
      <c r="L9">
        <f>Constants!$B$2</f>
        <v>2.8</v>
      </c>
      <c r="M9">
        <f t="shared" si="0"/>
        <v>270</v>
      </c>
      <c r="N9">
        <f>P9*Constants!$E$2</f>
        <v>6.12</v>
      </c>
      <c r="P9">
        <f t="shared" si="1"/>
        <v>3.6</v>
      </c>
      <c r="Q9">
        <f>P9*Constants!$B$3</f>
        <v>15.119999999999997</v>
      </c>
      <c r="R9">
        <f t="shared" si="5"/>
        <v>8.9999999999999964</v>
      </c>
      <c r="S9">
        <f t="shared" si="2"/>
        <v>19.2</v>
      </c>
      <c r="T9">
        <f>S9*Constants!$B$2</f>
        <v>53.76</v>
      </c>
      <c r="V9">
        <f t="shared" si="3"/>
        <v>0</v>
      </c>
      <c r="W9">
        <f t="shared" si="4"/>
        <v>0</v>
      </c>
      <c r="AA9" s="8"/>
      <c r="AJ9" s="4"/>
    </row>
    <row r="10" spans="1:40" x14ac:dyDescent="0.25">
      <c r="A10">
        <v>9</v>
      </c>
      <c r="B10">
        <v>7</v>
      </c>
      <c r="C10" t="s">
        <v>57</v>
      </c>
      <c r="D10" s="16" t="s">
        <v>581</v>
      </c>
      <c r="E10" s="16" t="s">
        <v>580</v>
      </c>
      <c r="F10">
        <v>3.71</v>
      </c>
      <c r="G10" t="s">
        <v>44</v>
      </c>
      <c r="H10">
        <v>0</v>
      </c>
      <c r="I10">
        <f>2*1.2*(1+2.1)</f>
        <v>7.4399999999999995</v>
      </c>
      <c r="L10">
        <f>Constants!$B$2</f>
        <v>2.8</v>
      </c>
      <c r="M10" t="str">
        <f t="shared" si="0"/>
        <v>N/A</v>
      </c>
      <c r="N10">
        <f>P10*Constants!$E$2</f>
        <v>0</v>
      </c>
      <c r="P10">
        <f t="shared" si="1"/>
        <v>0</v>
      </c>
      <c r="Q10">
        <f>P10*Constants!$B$3</f>
        <v>0</v>
      </c>
      <c r="R10">
        <f t="shared" si="5"/>
        <v>0</v>
      </c>
      <c r="S10">
        <f t="shared" si="2"/>
        <v>7.4399999999999995</v>
      </c>
      <c r="T10">
        <f>S10*Constants!$B$2</f>
        <v>20.831999999999997</v>
      </c>
      <c r="V10">
        <f t="shared" si="3"/>
        <v>0</v>
      </c>
      <c r="W10">
        <f t="shared" si="4"/>
        <v>0</v>
      </c>
      <c r="AA10" s="8"/>
      <c r="AJ10" s="4"/>
    </row>
    <row r="11" spans="1:40" x14ac:dyDescent="0.25">
      <c r="A11">
        <v>10</v>
      </c>
      <c r="B11">
        <v>7</v>
      </c>
      <c r="C11" t="s">
        <v>49</v>
      </c>
      <c r="D11" s="16" t="s">
        <v>608</v>
      </c>
      <c r="F11">
        <v>24.61</v>
      </c>
      <c r="G11">
        <v>270</v>
      </c>
      <c r="H11">
        <v>3.6</v>
      </c>
      <c r="I11">
        <f>2*(7.8+3.6)</f>
        <v>22.8</v>
      </c>
      <c r="L11">
        <f>Constants!$B$2</f>
        <v>2.8</v>
      </c>
      <c r="M11">
        <f t="shared" ref="M11:M12" si="10">IF(N11&gt;0,G11,"N/A")</f>
        <v>270</v>
      </c>
      <c r="N11">
        <f>P11*Constants!$E$2</f>
        <v>6.12</v>
      </c>
      <c r="P11">
        <f t="shared" si="1"/>
        <v>3.6</v>
      </c>
      <c r="Q11">
        <f>P11*Constants!$B$3</f>
        <v>15.119999999999997</v>
      </c>
      <c r="R11">
        <f t="shared" ref="R11:R12" si="11">IF(Q11-N11&lt;=0, 0, Q11-N11)</f>
        <v>8.9999999999999964</v>
      </c>
      <c r="S11">
        <f t="shared" si="2"/>
        <v>19.2</v>
      </c>
      <c r="T11">
        <f>S11*Constants!$B$2</f>
        <v>53.76</v>
      </c>
      <c r="V11">
        <f t="shared" si="3"/>
        <v>0</v>
      </c>
      <c r="W11">
        <f t="shared" si="4"/>
        <v>0</v>
      </c>
      <c r="AA11" s="8"/>
      <c r="AJ11" s="4"/>
    </row>
    <row r="12" spans="1:40" x14ac:dyDescent="0.25">
      <c r="A12">
        <v>11</v>
      </c>
      <c r="B12">
        <v>7</v>
      </c>
      <c r="C12" t="s">
        <v>57</v>
      </c>
      <c r="D12" s="16" t="s">
        <v>609</v>
      </c>
      <c r="E12" s="16" t="s">
        <v>608</v>
      </c>
      <c r="F12">
        <v>3.71</v>
      </c>
      <c r="G12" t="s">
        <v>44</v>
      </c>
      <c r="H12">
        <v>0</v>
      </c>
      <c r="I12">
        <v>7.44</v>
      </c>
      <c r="L12">
        <f>Constants!$B$2</f>
        <v>2.8</v>
      </c>
      <c r="M12" t="str">
        <f t="shared" si="10"/>
        <v>N/A</v>
      </c>
      <c r="N12">
        <f>P12*Constants!$E$2</f>
        <v>0</v>
      </c>
      <c r="P12">
        <f t="shared" ref="P12" si="12">H12</f>
        <v>0</v>
      </c>
      <c r="Q12">
        <f>P12*Constants!$B$3</f>
        <v>0</v>
      </c>
      <c r="R12">
        <f t="shared" si="11"/>
        <v>0</v>
      </c>
      <c r="S12">
        <f t="shared" ref="S12" si="13">I12-P12</f>
        <v>7.44</v>
      </c>
      <c r="T12">
        <f>S12*Constants!$B$2</f>
        <v>20.832000000000001</v>
      </c>
      <c r="V12">
        <f t="shared" ref="V12" si="14">IF(B12="E",1,0)</f>
        <v>0</v>
      </c>
      <c r="W12">
        <f t="shared" ref="W12" si="15">IF(B12=10,1,0)</f>
        <v>0</v>
      </c>
      <c r="AA12" s="8"/>
      <c r="AJ12" s="4"/>
    </row>
    <row r="13" spans="1:40" x14ac:dyDescent="0.25">
      <c r="A13">
        <v>12</v>
      </c>
      <c r="B13">
        <v>7</v>
      </c>
      <c r="C13" t="s">
        <v>49</v>
      </c>
      <c r="D13" s="16" t="s">
        <v>582</v>
      </c>
      <c r="E13" s="16"/>
      <c r="F13">
        <v>24.76</v>
      </c>
      <c r="G13">
        <v>270</v>
      </c>
      <c r="H13">
        <v>3.6</v>
      </c>
      <c r="I13">
        <f>2*(7.8+3.6)</f>
        <v>22.8</v>
      </c>
      <c r="L13">
        <f>Constants!$B$2</f>
        <v>2.8</v>
      </c>
      <c r="M13">
        <f t="shared" si="0"/>
        <v>270</v>
      </c>
      <c r="N13">
        <f>P13*Constants!$E$2</f>
        <v>6.12</v>
      </c>
      <c r="P13">
        <f t="shared" si="1"/>
        <v>3.6</v>
      </c>
      <c r="Q13">
        <f>P13*Constants!$B$3</f>
        <v>15.119999999999997</v>
      </c>
      <c r="R13">
        <f t="shared" si="5"/>
        <v>8.9999999999999964</v>
      </c>
      <c r="S13">
        <f t="shared" si="2"/>
        <v>19.2</v>
      </c>
      <c r="T13">
        <f>S13*Constants!$B$2</f>
        <v>53.76</v>
      </c>
      <c r="V13">
        <f t="shared" si="3"/>
        <v>0</v>
      </c>
      <c r="W13">
        <f t="shared" si="4"/>
        <v>0</v>
      </c>
      <c r="AA13" s="8"/>
      <c r="AJ13" s="4"/>
    </row>
    <row r="14" spans="1:40" x14ac:dyDescent="0.25">
      <c r="A14">
        <v>13</v>
      </c>
      <c r="B14">
        <v>7</v>
      </c>
      <c r="C14" t="s">
        <v>57</v>
      </c>
      <c r="D14" s="16" t="s">
        <v>610</v>
      </c>
      <c r="E14" s="16" t="s">
        <v>582</v>
      </c>
      <c r="F14">
        <v>3.71</v>
      </c>
      <c r="G14" t="s">
        <v>44</v>
      </c>
      <c r="H14">
        <v>0</v>
      </c>
      <c r="I14">
        <v>7.44</v>
      </c>
      <c r="L14">
        <f>Constants!$B$2</f>
        <v>2.8</v>
      </c>
      <c r="M14" t="str">
        <f t="shared" ref="M14" si="16">IF(N14&gt;0,G14,"N/A")</f>
        <v>N/A</v>
      </c>
      <c r="N14">
        <f>P14*Constants!$E$2</f>
        <v>0</v>
      </c>
      <c r="P14">
        <f t="shared" ref="P14" si="17">H14</f>
        <v>0</v>
      </c>
      <c r="Q14">
        <f>P14*Constants!$B$3</f>
        <v>0</v>
      </c>
      <c r="R14">
        <f t="shared" ref="R14" si="18">IF(Q14-N14&lt;=0, 0, Q14-N14)</f>
        <v>0</v>
      </c>
      <c r="S14">
        <f t="shared" ref="S14" si="19">I14-P14</f>
        <v>7.44</v>
      </c>
      <c r="T14">
        <f>S14*Constants!$B$2</f>
        <v>20.832000000000001</v>
      </c>
      <c r="V14">
        <f t="shared" ref="V14" si="20">IF(B14="E",1,0)</f>
        <v>0</v>
      </c>
      <c r="W14">
        <f t="shared" ref="W14" si="21">IF(B14=10,1,0)</f>
        <v>0</v>
      </c>
      <c r="AA14" s="8"/>
      <c r="AJ14" s="4"/>
    </row>
    <row r="15" spans="1:40" x14ac:dyDescent="0.25">
      <c r="A15">
        <v>14</v>
      </c>
      <c r="B15">
        <v>7</v>
      </c>
      <c r="C15" t="s">
        <v>54</v>
      </c>
      <c r="D15" s="16" t="s">
        <v>583</v>
      </c>
      <c r="F15">
        <v>14.96</v>
      </c>
      <c r="G15" t="s">
        <v>44</v>
      </c>
      <c r="H15">
        <v>0</v>
      </c>
      <c r="I15">
        <f>2*1.2*(3.5+3)</f>
        <v>15.6</v>
      </c>
      <c r="L15">
        <f>Constants!$B$2</f>
        <v>2.8</v>
      </c>
      <c r="M15" t="str">
        <f t="shared" si="0"/>
        <v>N/A</v>
      </c>
      <c r="N15">
        <f>P15*Constants!$E$2</f>
        <v>0</v>
      </c>
      <c r="P15">
        <f t="shared" si="1"/>
        <v>0</v>
      </c>
      <c r="Q15">
        <f>P15*Constants!$B$3</f>
        <v>0</v>
      </c>
      <c r="R15">
        <f t="shared" si="5"/>
        <v>0</v>
      </c>
      <c r="S15">
        <f t="shared" si="2"/>
        <v>15.6</v>
      </c>
      <c r="T15">
        <f>S15*Constants!$B$2</f>
        <v>43.68</v>
      </c>
      <c r="V15">
        <f t="shared" si="3"/>
        <v>0</v>
      </c>
      <c r="W15">
        <f t="shared" si="4"/>
        <v>0</v>
      </c>
      <c r="AA15" s="8"/>
      <c r="AJ15" s="4"/>
    </row>
    <row r="16" spans="1:40" x14ac:dyDescent="0.25">
      <c r="A16">
        <v>15</v>
      </c>
      <c r="B16">
        <v>7</v>
      </c>
      <c r="C16" t="s">
        <v>59</v>
      </c>
      <c r="D16" s="16" t="s">
        <v>584</v>
      </c>
      <c r="F16">
        <v>9.17</v>
      </c>
      <c r="G16">
        <v>270</v>
      </c>
      <c r="H16">
        <v>2.4</v>
      </c>
      <c r="I16">
        <f>2*1.2*(2+3.5)</f>
        <v>13.2</v>
      </c>
      <c r="L16">
        <f>Constants!$B$2</f>
        <v>2.8</v>
      </c>
      <c r="M16">
        <f t="shared" si="0"/>
        <v>270</v>
      </c>
      <c r="N16">
        <f>P16*Constants!$E$2</f>
        <v>4.08</v>
      </c>
      <c r="P16">
        <f t="shared" si="1"/>
        <v>2.4</v>
      </c>
      <c r="Q16">
        <f>P16*Constants!$B$3</f>
        <v>10.079999999999998</v>
      </c>
      <c r="R16">
        <f t="shared" si="5"/>
        <v>5.9999999999999982</v>
      </c>
      <c r="S16">
        <f t="shared" si="2"/>
        <v>10.799999999999999</v>
      </c>
      <c r="T16">
        <f>S16*Constants!$B$2</f>
        <v>30.239999999999995</v>
      </c>
      <c r="V16">
        <f t="shared" si="3"/>
        <v>0</v>
      </c>
      <c r="W16">
        <f t="shared" si="4"/>
        <v>0</v>
      </c>
      <c r="AA16" s="8"/>
      <c r="AJ16" s="4"/>
    </row>
    <row r="17" spans="1:36" x14ac:dyDescent="0.25">
      <c r="A17">
        <v>16</v>
      </c>
      <c r="B17">
        <v>7</v>
      </c>
      <c r="C17" t="s">
        <v>66</v>
      </c>
      <c r="D17" s="16" t="s">
        <v>585</v>
      </c>
      <c r="F17">
        <v>14.22</v>
      </c>
      <c r="G17">
        <v>270</v>
      </c>
      <c r="H17">
        <v>3.6</v>
      </c>
      <c r="I17">
        <f>2*1.2*(3+3.5)</f>
        <v>15.6</v>
      </c>
      <c r="L17">
        <f>Constants!$B$2</f>
        <v>2.8</v>
      </c>
      <c r="M17">
        <f>IF(N17&gt;0,G17,"N/A")</f>
        <v>270</v>
      </c>
      <c r="N17">
        <f>P17*Constants!$E$2</f>
        <v>6.12</v>
      </c>
      <c r="P17">
        <f>H17</f>
        <v>3.6</v>
      </c>
      <c r="Q17">
        <f>P17*Constants!$B$3</f>
        <v>15.119999999999997</v>
      </c>
      <c r="R17">
        <f t="shared" si="5"/>
        <v>8.9999999999999964</v>
      </c>
      <c r="S17">
        <f>I17-P17</f>
        <v>12</v>
      </c>
      <c r="T17">
        <f>S17*Constants!$B$2</f>
        <v>33.599999999999994</v>
      </c>
      <c r="V17">
        <f t="shared" si="3"/>
        <v>0</v>
      </c>
      <c r="W17">
        <f t="shared" si="4"/>
        <v>0</v>
      </c>
      <c r="AA17" s="8"/>
      <c r="AJ17" s="4"/>
    </row>
    <row r="18" spans="1:36" x14ac:dyDescent="0.25">
      <c r="A18">
        <v>17</v>
      </c>
      <c r="B18">
        <v>7</v>
      </c>
      <c r="C18" t="s">
        <v>49</v>
      </c>
      <c r="D18" s="16" t="s">
        <v>586</v>
      </c>
      <c r="F18">
        <v>23.47</v>
      </c>
      <c r="G18">
        <v>270</v>
      </c>
      <c r="H18">
        <v>3.6</v>
      </c>
      <c r="I18">
        <f>2*(7.8+3.6)</f>
        <v>22.8</v>
      </c>
      <c r="L18">
        <f>Constants!$B$2</f>
        <v>2.8</v>
      </c>
      <c r="M18">
        <f t="shared" si="0"/>
        <v>270</v>
      </c>
      <c r="N18">
        <f>P18*Constants!$E$2</f>
        <v>6.12</v>
      </c>
      <c r="P18">
        <f t="shared" si="1"/>
        <v>3.6</v>
      </c>
      <c r="Q18">
        <f>P18*Constants!$B$3</f>
        <v>15.119999999999997</v>
      </c>
      <c r="R18">
        <f t="shared" si="5"/>
        <v>8.9999999999999964</v>
      </c>
      <c r="S18">
        <f t="shared" si="2"/>
        <v>19.2</v>
      </c>
      <c r="T18">
        <f>S18*Constants!$B$2</f>
        <v>53.76</v>
      </c>
      <c r="V18">
        <f t="shared" si="3"/>
        <v>0</v>
      </c>
      <c r="W18">
        <f t="shared" si="4"/>
        <v>0</v>
      </c>
      <c r="AA18" s="8"/>
      <c r="AJ18" s="4"/>
    </row>
    <row r="19" spans="1:36" x14ac:dyDescent="0.25">
      <c r="A19">
        <v>18</v>
      </c>
      <c r="B19">
        <v>7</v>
      </c>
      <c r="C19" t="s">
        <v>57</v>
      </c>
      <c r="D19" s="16" t="s">
        <v>587</v>
      </c>
      <c r="E19" s="16" t="s">
        <v>586</v>
      </c>
      <c r="F19">
        <v>3.71</v>
      </c>
      <c r="G19" t="s">
        <v>44</v>
      </c>
      <c r="H19">
        <v>0</v>
      </c>
      <c r="I19">
        <v>8.5500000000000007</v>
      </c>
      <c r="L19">
        <f>Constants!$B$2</f>
        <v>2.8</v>
      </c>
      <c r="M19" t="str">
        <f t="shared" si="0"/>
        <v>N/A</v>
      </c>
      <c r="N19">
        <f>P19*Constants!$E$2</f>
        <v>0</v>
      </c>
      <c r="P19">
        <f t="shared" si="1"/>
        <v>0</v>
      </c>
      <c r="Q19">
        <f>P19*Constants!$B$3</f>
        <v>0</v>
      </c>
      <c r="R19">
        <f t="shared" si="5"/>
        <v>0</v>
      </c>
      <c r="S19">
        <f t="shared" si="2"/>
        <v>8.5500000000000007</v>
      </c>
      <c r="T19">
        <f>S19*Constants!$B$2</f>
        <v>23.94</v>
      </c>
      <c r="V19">
        <f t="shared" si="3"/>
        <v>0</v>
      </c>
      <c r="W19">
        <f t="shared" si="4"/>
        <v>0</v>
      </c>
      <c r="AA19" s="8"/>
      <c r="AJ19" s="4"/>
    </row>
    <row r="20" spans="1:36" x14ac:dyDescent="0.25">
      <c r="A20">
        <v>19</v>
      </c>
      <c r="B20">
        <v>7</v>
      </c>
      <c r="C20" t="s">
        <v>62</v>
      </c>
      <c r="D20" s="16" t="s">
        <v>588</v>
      </c>
      <c r="F20">
        <v>20.76</v>
      </c>
      <c r="G20">
        <v>0</v>
      </c>
      <c r="H20">
        <v>4</v>
      </c>
      <c r="I20">
        <f>2*(4+5.3)</f>
        <v>18.600000000000001</v>
      </c>
      <c r="L20">
        <f>Constants!$B$2</f>
        <v>2.8</v>
      </c>
      <c r="M20">
        <f t="shared" si="0"/>
        <v>0</v>
      </c>
      <c r="N20">
        <f>P20*Constants!$E$2</f>
        <v>6.8</v>
      </c>
      <c r="P20">
        <f t="shared" si="1"/>
        <v>4</v>
      </c>
      <c r="Q20">
        <f>P20*Constants!$B$3</f>
        <v>16.799999999999997</v>
      </c>
      <c r="R20">
        <f t="shared" si="5"/>
        <v>9.9999999999999964</v>
      </c>
      <c r="S20">
        <f t="shared" si="2"/>
        <v>14.600000000000001</v>
      </c>
      <c r="T20">
        <f>S20*Constants!$B$2</f>
        <v>40.880000000000003</v>
      </c>
      <c r="V20">
        <f t="shared" si="3"/>
        <v>0</v>
      </c>
      <c r="W20">
        <f t="shared" si="4"/>
        <v>0</v>
      </c>
      <c r="AA20" s="8"/>
      <c r="AJ20" s="4"/>
    </row>
    <row r="21" spans="1:36" x14ac:dyDescent="0.25">
      <c r="A21">
        <v>20</v>
      </c>
      <c r="B21">
        <v>7</v>
      </c>
      <c r="C21" t="s">
        <v>64</v>
      </c>
      <c r="D21" s="16" t="s">
        <v>589</v>
      </c>
      <c r="F21">
        <v>3.72</v>
      </c>
      <c r="G21">
        <v>90</v>
      </c>
      <c r="H21">
        <v>1.4</v>
      </c>
      <c r="I21">
        <f>2*(3.5+1.4)</f>
        <v>9.8000000000000007</v>
      </c>
      <c r="L21">
        <f>Constants!$B$2</f>
        <v>2.8</v>
      </c>
      <c r="M21">
        <f t="shared" si="0"/>
        <v>90</v>
      </c>
      <c r="N21">
        <f>P21*Constants!$E$2</f>
        <v>2.38</v>
      </c>
      <c r="P21">
        <f t="shared" si="1"/>
        <v>1.4</v>
      </c>
      <c r="Q21">
        <f>P21*Constants!$B$3</f>
        <v>5.879999999999999</v>
      </c>
      <c r="R21">
        <f t="shared" si="5"/>
        <v>3.4999999999999991</v>
      </c>
      <c r="S21">
        <f t="shared" si="2"/>
        <v>8.4</v>
      </c>
      <c r="T21">
        <f>S21*Constants!$B$2</f>
        <v>23.52</v>
      </c>
      <c r="V21">
        <f t="shared" si="3"/>
        <v>0</v>
      </c>
      <c r="W21">
        <f t="shared" si="4"/>
        <v>0</v>
      </c>
      <c r="AA21" s="8"/>
      <c r="AJ21" s="4"/>
    </row>
    <row r="22" spans="1:36" x14ac:dyDescent="0.25">
      <c r="A22">
        <v>21</v>
      </c>
      <c r="B22">
        <v>7</v>
      </c>
      <c r="C22" t="s">
        <v>64</v>
      </c>
      <c r="D22" s="16" t="s">
        <v>590</v>
      </c>
      <c r="F22">
        <v>3.72</v>
      </c>
      <c r="G22">
        <v>90</v>
      </c>
      <c r="H22">
        <v>1.4</v>
      </c>
      <c r="I22">
        <f>2*(3.5+1.4)</f>
        <v>9.8000000000000007</v>
      </c>
      <c r="L22">
        <f>Constants!$B$2</f>
        <v>2.8</v>
      </c>
      <c r="M22">
        <f t="shared" si="0"/>
        <v>90</v>
      </c>
      <c r="N22">
        <f>P22*Constants!$E$2</f>
        <v>2.38</v>
      </c>
      <c r="P22">
        <f t="shared" si="1"/>
        <v>1.4</v>
      </c>
      <c r="Q22">
        <f>P22*Constants!$B$3</f>
        <v>5.879999999999999</v>
      </c>
      <c r="R22">
        <f t="shared" si="5"/>
        <v>3.4999999999999991</v>
      </c>
      <c r="S22">
        <f t="shared" si="2"/>
        <v>8.4</v>
      </c>
      <c r="T22">
        <f>S22*Constants!$B$2</f>
        <v>23.52</v>
      </c>
      <c r="V22">
        <f t="shared" si="3"/>
        <v>0</v>
      </c>
      <c r="W22">
        <f t="shared" si="4"/>
        <v>0</v>
      </c>
      <c r="AA22" s="8"/>
      <c r="AJ22" s="4"/>
    </row>
    <row r="23" spans="1:36" x14ac:dyDescent="0.25">
      <c r="A23">
        <v>22</v>
      </c>
      <c r="B23">
        <v>7</v>
      </c>
      <c r="C23" t="s">
        <v>62</v>
      </c>
      <c r="D23" s="16" t="s">
        <v>591</v>
      </c>
      <c r="F23">
        <f>56.65+68.9</f>
        <v>125.55000000000001</v>
      </c>
      <c r="G23" t="s">
        <v>44</v>
      </c>
      <c r="H23">
        <v>0</v>
      </c>
      <c r="I23">
        <v>100.25</v>
      </c>
      <c r="L23">
        <f>Constants!$B$2</f>
        <v>2.8</v>
      </c>
      <c r="M23" t="str">
        <f t="shared" si="0"/>
        <v>N/A</v>
      </c>
      <c r="N23">
        <f>P23*Constants!$E$2</f>
        <v>0</v>
      </c>
      <c r="P23">
        <f t="shared" si="1"/>
        <v>0</v>
      </c>
      <c r="Q23">
        <f>P23*Constants!$B$3</f>
        <v>0</v>
      </c>
      <c r="R23">
        <f t="shared" si="5"/>
        <v>0</v>
      </c>
      <c r="S23">
        <f t="shared" si="2"/>
        <v>100.25</v>
      </c>
      <c r="T23">
        <f>S23*Constants!$B$2</f>
        <v>280.7</v>
      </c>
      <c r="V23">
        <f t="shared" si="3"/>
        <v>0</v>
      </c>
      <c r="W23">
        <f t="shared" si="4"/>
        <v>0</v>
      </c>
      <c r="AA23" s="8"/>
      <c r="AJ23" s="4"/>
    </row>
    <row r="24" spans="1:36" x14ac:dyDescent="0.25">
      <c r="A24">
        <v>23</v>
      </c>
      <c r="B24">
        <v>7</v>
      </c>
      <c r="C24" t="s">
        <v>49</v>
      </c>
      <c r="D24" s="16" t="s">
        <v>592</v>
      </c>
      <c r="E24" s="16"/>
      <c r="F24">
        <v>23.47</v>
      </c>
      <c r="G24">
        <v>90</v>
      </c>
      <c r="H24">
        <f>3.3+3.6</f>
        <v>6.9</v>
      </c>
      <c r="I24">
        <f>2*(7.8+3.6)</f>
        <v>22.8</v>
      </c>
      <c r="L24">
        <f>Constants!$B$2</f>
        <v>2.8</v>
      </c>
      <c r="M24">
        <f t="shared" si="0"/>
        <v>90</v>
      </c>
      <c r="N24">
        <f>P24*Constants!$E$2</f>
        <v>11.73</v>
      </c>
      <c r="P24">
        <f t="shared" si="1"/>
        <v>6.9</v>
      </c>
      <c r="Q24">
        <f>P24*Constants!$B$3</f>
        <v>28.979999999999997</v>
      </c>
      <c r="R24">
        <f t="shared" si="5"/>
        <v>17.249999999999996</v>
      </c>
      <c r="S24">
        <f t="shared" si="2"/>
        <v>15.9</v>
      </c>
      <c r="T24">
        <f>S24*Constants!$B$2</f>
        <v>44.519999999999996</v>
      </c>
      <c r="V24">
        <f t="shared" si="3"/>
        <v>0</v>
      </c>
      <c r="W24">
        <f t="shared" si="4"/>
        <v>0</v>
      </c>
      <c r="AA24" s="8"/>
      <c r="AJ24" s="4"/>
    </row>
    <row r="25" spans="1:36" x14ac:dyDescent="0.25">
      <c r="A25">
        <v>24</v>
      </c>
      <c r="B25">
        <v>7</v>
      </c>
      <c r="C25" t="s">
        <v>57</v>
      </c>
      <c r="D25" s="16" t="s">
        <v>593</v>
      </c>
      <c r="E25" s="16" t="s">
        <v>592</v>
      </c>
      <c r="F25">
        <v>2.2400000000000002</v>
      </c>
      <c r="G25" t="s">
        <v>44</v>
      </c>
      <c r="H25">
        <v>0</v>
      </c>
      <c r="I25">
        <v>8.5500000000000007</v>
      </c>
      <c r="L25">
        <f>Constants!$B$2</f>
        <v>2.8</v>
      </c>
      <c r="M25" t="str">
        <f t="shared" si="0"/>
        <v>N/A</v>
      </c>
      <c r="N25">
        <f>P25*Constants!$E$2</f>
        <v>0</v>
      </c>
      <c r="P25">
        <f t="shared" si="1"/>
        <v>0</v>
      </c>
      <c r="Q25">
        <f>P25*Constants!$B$3</f>
        <v>0</v>
      </c>
      <c r="R25">
        <f t="shared" si="5"/>
        <v>0</v>
      </c>
      <c r="S25">
        <f t="shared" si="2"/>
        <v>8.5500000000000007</v>
      </c>
      <c r="T25">
        <f>S25*Constants!$B$2</f>
        <v>23.94</v>
      </c>
      <c r="V25">
        <f t="shared" si="3"/>
        <v>0</v>
      </c>
      <c r="W25">
        <f t="shared" si="4"/>
        <v>0</v>
      </c>
      <c r="AA25" s="8"/>
      <c r="AJ25" s="4"/>
    </row>
    <row r="26" spans="1:36" x14ac:dyDescent="0.25">
      <c r="A26">
        <v>25</v>
      </c>
      <c r="B26">
        <v>7</v>
      </c>
      <c r="C26" t="s">
        <v>64</v>
      </c>
      <c r="D26" s="16" t="s">
        <v>594</v>
      </c>
      <c r="E26" s="16"/>
      <c r="F26">
        <v>3.02</v>
      </c>
      <c r="G26" t="s">
        <v>44</v>
      </c>
      <c r="H26">
        <v>0</v>
      </c>
      <c r="I26">
        <f>2*1.2*(1+2.5)</f>
        <v>8.4</v>
      </c>
      <c r="L26">
        <f>Constants!$B$2</f>
        <v>2.8</v>
      </c>
      <c r="M26" t="str">
        <f t="shared" si="0"/>
        <v>N/A</v>
      </c>
      <c r="N26">
        <f>P26*Constants!$E$2</f>
        <v>0</v>
      </c>
      <c r="P26">
        <f t="shared" si="1"/>
        <v>0</v>
      </c>
      <c r="Q26">
        <f>P26*Constants!$B$3</f>
        <v>0</v>
      </c>
      <c r="R26">
        <f t="shared" si="5"/>
        <v>0</v>
      </c>
      <c r="S26">
        <f t="shared" si="2"/>
        <v>8.4</v>
      </c>
      <c r="T26">
        <f>S26*Constants!$B$2</f>
        <v>23.52</v>
      </c>
      <c r="V26">
        <f t="shared" si="3"/>
        <v>0</v>
      </c>
      <c r="W26">
        <f t="shared" si="4"/>
        <v>0</v>
      </c>
      <c r="AA26" s="8"/>
      <c r="AJ26" s="4"/>
    </row>
    <row r="27" spans="1:36" x14ac:dyDescent="0.25">
      <c r="A27">
        <v>26</v>
      </c>
      <c r="B27">
        <v>7</v>
      </c>
      <c r="C27" t="s">
        <v>64</v>
      </c>
      <c r="D27" s="16" t="s">
        <v>595</v>
      </c>
      <c r="E27" s="16"/>
      <c r="F27">
        <v>2.63</v>
      </c>
      <c r="G27" t="s">
        <v>44</v>
      </c>
      <c r="H27">
        <v>0</v>
      </c>
      <c r="I27">
        <f>2*1.2*(1+2)</f>
        <v>7.1999999999999993</v>
      </c>
      <c r="L27">
        <f>Constants!$B$2</f>
        <v>2.8</v>
      </c>
      <c r="M27" t="str">
        <f t="shared" ref="M27" si="22">IF(N27&gt;0,G27,"N/A")</f>
        <v>N/A</v>
      </c>
      <c r="N27">
        <f>P27*Constants!$E$2</f>
        <v>0</v>
      </c>
      <c r="P27">
        <f t="shared" ref="P27" si="23">H27</f>
        <v>0</v>
      </c>
      <c r="Q27">
        <f>P27*Constants!$B$3</f>
        <v>0</v>
      </c>
      <c r="R27">
        <f t="shared" ref="R27" si="24">IF(Q27-N27&lt;=0, 0, Q27-N27)</f>
        <v>0</v>
      </c>
      <c r="S27">
        <f t="shared" ref="S27" si="25">I27-P27</f>
        <v>7.1999999999999993</v>
      </c>
      <c r="T27">
        <f>S27*Constants!$B$2</f>
        <v>20.159999999999997</v>
      </c>
      <c r="V27">
        <f t="shared" ref="V27" si="26">IF(B27="E",1,0)</f>
        <v>0</v>
      </c>
      <c r="W27">
        <f t="shared" ref="W27" si="27">IF(B27=10,1,0)</f>
        <v>0</v>
      </c>
      <c r="AA27" s="8"/>
      <c r="AJ27" s="4"/>
    </row>
    <row r="28" spans="1:36" x14ac:dyDescent="0.25">
      <c r="A28">
        <v>27</v>
      </c>
      <c r="B28">
        <v>7</v>
      </c>
      <c r="C28" t="s">
        <v>57</v>
      </c>
      <c r="D28" s="16" t="s">
        <v>596</v>
      </c>
      <c r="E28" s="16"/>
      <c r="F28">
        <v>7.95</v>
      </c>
      <c r="G28">
        <v>90</v>
      </c>
      <c r="H28">
        <v>2.4</v>
      </c>
      <c r="I28">
        <f>2*1.2*(2+3)</f>
        <v>12</v>
      </c>
      <c r="L28">
        <f>Constants!$B$2</f>
        <v>2.8</v>
      </c>
      <c r="M28">
        <f t="shared" si="0"/>
        <v>90</v>
      </c>
      <c r="N28">
        <f>P28*Constants!$E$2</f>
        <v>4.08</v>
      </c>
      <c r="P28">
        <f t="shared" si="1"/>
        <v>2.4</v>
      </c>
      <c r="Q28">
        <f>P28*Constants!$B$3</f>
        <v>10.079999999999998</v>
      </c>
      <c r="R28">
        <f t="shared" si="5"/>
        <v>5.9999999999999982</v>
      </c>
      <c r="S28">
        <f t="shared" si="2"/>
        <v>9.6</v>
      </c>
      <c r="T28">
        <f>S28*Constants!$B$2</f>
        <v>26.88</v>
      </c>
      <c r="V28">
        <f t="shared" si="3"/>
        <v>0</v>
      </c>
      <c r="W28">
        <f t="shared" si="4"/>
        <v>0</v>
      </c>
      <c r="AA28" s="8"/>
      <c r="AJ28" s="4"/>
    </row>
    <row r="29" spans="1:36" x14ac:dyDescent="0.25">
      <c r="A29">
        <v>28</v>
      </c>
      <c r="B29">
        <v>7</v>
      </c>
      <c r="C29" t="s">
        <v>59</v>
      </c>
      <c r="D29" s="16" t="s">
        <v>597</v>
      </c>
      <c r="E29" s="16"/>
      <c r="F29">
        <v>48.44</v>
      </c>
      <c r="G29">
        <v>90</v>
      </c>
      <c r="H29">
        <v>7.2</v>
      </c>
      <c r="I29">
        <f>2*1.2*(6.5+6)</f>
        <v>30</v>
      </c>
      <c r="L29">
        <f>Constants!$B$2</f>
        <v>2.8</v>
      </c>
      <c r="M29">
        <f t="shared" si="0"/>
        <v>90</v>
      </c>
      <c r="N29">
        <f>P29*Constants!$E$2</f>
        <v>12.24</v>
      </c>
      <c r="P29">
        <f t="shared" si="1"/>
        <v>7.2</v>
      </c>
      <c r="Q29">
        <f>P29*Constants!$B$3</f>
        <v>30.239999999999995</v>
      </c>
      <c r="R29">
        <f t="shared" si="5"/>
        <v>17.999999999999993</v>
      </c>
      <c r="S29">
        <f t="shared" si="2"/>
        <v>22.8</v>
      </c>
      <c r="T29">
        <f>S29*Constants!$B$2</f>
        <v>63.839999999999996</v>
      </c>
      <c r="V29">
        <f t="shared" si="3"/>
        <v>0</v>
      </c>
      <c r="W29">
        <f t="shared" si="4"/>
        <v>0</v>
      </c>
      <c r="AA29" s="8"/>
      <c r="AJ29" s="4"/>
    </row>
    <row r="30" spans="1:36" x14ac:dyDescent="0.25">
      <c r="A30">
        <v>29</v>
      </c>
      <c r="B30">
        <v>7</v>
      </c>
      <c r="C30" t="s">
        <v>49</v>
      </c>
      <c r="D30" s="16" t="s">
        <v>598</v>
      </c>
      <c r="E30" s="16"/>
      <c r="F30">
        <v>24.61</v>
      </c>
      <c r="G30">
        <v>90</v>
      </c>
      <c r="H30">
        <v>3.6</v>
      </c>
      <c r="I30">
        <f>2*1.2*(6.5+3)</f>
        <v>22.8</v>
      </c>
      <c r="L30">
        <f>Constants!$B$2</f>
        <v>2.8</v>
      </c>
      <c r="M30">
        <f t="shared" si="0"/>
        <v>90</v>
      </c>
      <c r="N30">
        <f>P30*Constants!$E$2</f>
        <v>6.12</v>
      </c>
      <c r="P30">
        <f t="shared" si="1"/>
        <v>3.6</v>
      </c>
      <c r="Q30">
        <f>P30*Constants!$B$3</f>
        <v>15.119999999999997</v>
      </c>
      <c r="R30">
        <f t="shared" si="5"/>
        <v>8.9999999999999964</v>
      </c>
      <c r="S30">
        <f t="shared" si="2"/>
        <v>19.2</v>
      </c>
      <c r="T30">
        <f>S30*Constants!$B$2</f>
        <v>53.76</v>
      </c>
      <c r="V30">
        <f t="shared" si="3"/>
        <v>0</v>
      </c>
      <c r="W30">
        <f t="shared" si="4"/>
        <v>0</v>
      </c>
      <c r="AA30" s="8"/>
      <c r="AJ30" s="4"/>
    </row>
    <row r="31" spans="1:36" x14ac:dyDescent="0.25">
      <c r="A31">
        <v>30</v>
      </c>
      <c r="B31">
        <v>7</v>
      </c>
      <c r="C31" t="s">
        <v>57</v>
      </c>
      <c r="D31" s="16" t="s">
        <v>611</v>
      </c>
      <c r="E31" s="16" t="s">
        <v>598</v>
      </c>
      <c r="F31">
        <v>3.71</v>
      </c>
      <c r="G31" t="s">
        <v>44</v>
      </c>
      <c r="H31">
        <v>0</v>
      </c>
      <c r="I31">
        <v>7.44</v>
      </c>
      <c r="L31">
        <f>Constants!$B$2</f>
        <v>2.8</v>
      </c>
      <c r="M31" t="str">
        <f t="shared" si="0"/>
        <v>N/A</v>
      </c>
      <c r="N31">
        <f>P31*Constants!$E$2</f>
        <v>0</v>
      </c>
      <c r="P31">
        <f t="shared" si="1"/>
        <v>0</v>
      </c>
      <c r="Q31">
        <f>P31*Constants!$B$3</f>
        <v>0</v>
      </c>
      <c r="R31">
        <f t="shared" si="5"/>
        <v>0</v>
      </c>
      <c r="S31">
        <f t="shared" si="2"/>
        <v>7.44</v>
      </c>
      <c r="T31">
        <f>S31*Constants!$B$2</f>
        <v>20.832000000000001</v>
      </c>
      <c r="V31">
        <f t="shared" si="3"/>
        <v>0</v>
      </c>
      <c r="W31">
        <f t="shared" si="4"/>
        <v>0</v>
      </c>
      <c r="AA31" s="8"/>
      <c r="AJ31" s="4"/>
    </row>
    <row r="32" spans="1:36" x14ac:dyDescent="0.25">
      <c r="A32">
        <v>31</v>
      </c>
      <c r="B32">
        <v>7</v>
      </c>
      <c r="C32" t="s">
        <v>49</v>
      </c>
      <c r="D32" s="16" t="s">
        <v>599</v>
      </c>
      <c r="F32">
        <v>24.61</v>
      </c>
      <c r="G32">
        <v>90</v>
      </c>
      <c r="H32">
        <v>3</v>
      </c>
      <c r="I32">
        <f>2*(3+5)</f>
        <v>16</v>
      </c>
      <c r="L32">
        <f>Constants!$B$2</f>
        <v>2.8</v>
      </c>
      <c r="M32">
        <f t="shared" si="0"/>
        <v>90</v>
      </c>
      <c r="N32">
        <f>P32*Constants!$E$2</f>
        <v>5.0999999999999996</v>
      </c>
      <c r="P32">
        <f t="shared" si="1"/>
        <v>3</v>
      </c>
      <c r="Q32">
        <f>P32*Constants!$B$3</f>
        <v>12.599999999999998</v>
      </c>
      <c r="R32">
        <f t="shared" si="5"/>
        <v>7.4999999999999982</v>
      </c>
      <c r="S32">
        <f t="shared" si="2"/>
        <v>13</v>
      </c>
      <c r="T32">
        <f>S32*Constants!$B$2</f>
        <v>36.4</v>
      </c>
      <c r="V32">
        <f t="shared" si="3"/>
        <v>0</v>
      </c>
      <c r="W32">
        <f t="shared" si="4"/>
        <v>0</v>
      </c>
      <c r="AA32" s="8"/>
      <c r="AJ32" s="4"/>
    </row>
    <row r="33" spans="1:36" x14ac:dyDescent="0.25">
      <c r="A33">
        <v>32</v>
      </c>
      <c r="B33">
        <v>7</v>
      </c>
      <c r="C33" t="s">
        <v>57</v>
      </c>
      <c r="D33" s="16" t="s">
        <v>600</v>
      </c>
      <c r="E33" s="16" t="s">
        <v>599</v>
      </c>
      <c r="F33">
        <v>3.71</v>
      </c>
      <c r="G33" t="s">
        <v>44</v>
      </c>
      <c r="H33">
        <v>0</v>
      </c>
      <c r="I33">
        <v>8.5500000000000007</v>
      </c>
      <c r="L33">
        <f>Constants!$B$2</f>
        <v>2.8</v>
      </c>
      <c r="M33" t="str">
        <f t="shared" si="0"/>
        <v>N/A</v>
      </c>
      <c r="N33">
        <f>P33*Constants!$E$2</f>
        <v>0</v>
      </c>
      <c r="P33">
        <f t="shared" si="1"/>
        <v>0</v>
      </c>
      <c r="Q33">
        <f>P33*Constants!$B$3</f>
        <v>0</v>
      </c>
      <c r="R33">
        <f t="shared" si="5"/>
        <v>0</v>
      </c>
      <c r="S33">
        <f t="shared" si="2"/>
        <v>8.5500000000000007</v>
      </c>
      <c r="T33">
        <f>S33*Constants!$B$2</f>
        <v>23.94</v>
      </c>
      <c r="V33">
        <f t="shared" si="3"/>
        <v>0</v>
      </c>
      <c r="W33">
        <f t="shared" si="4"/>
        <v>0</v>
      </c>
      <c r="AA33" s="8"/>
      <c r="AJ33" s="4"/>
    </row>
    <row r="34" spans="1:36" x14ac:dyDescent="0.25">
      <c r="A34">
        <v>33</v>
      </c>
      <c r="B34">
        <v>7</v>
      </c>
      <c r="C34" t="s">
        <v>49</v>
      </c>
      <c r="D34" s="16" t="s">
        <v>601</v>
      </c>
      <c r="F34">
        <v>42.82</v>
      </c>
      <c r="G34">
        <v>90</v>
      </c>
      <c r="H34">
        <v>7.2</v>
      </c>
      <c r="I34">
        <f>2*1.2*(6.5+6)</f>
        <v>30</v>
      </c>
      <c r="L34">
        <f>Constants!$B$2</f>
        <v>2.8</v>
      </c>
      <c r="M34">
        <f t="shared" si="0"/>
        <v>90</v>
      </c>
      <c r="N34">
        <f>P34*Constants!$E$2</f>
        <v>12.24</v>
      </c>
      <c r="P34">
        <f t="shared" si="1"/>
        <v>7.2</v>
      </c>
      <c r="Q34">
        <f>P34*Constants!$B$3</f>
        <v>30.239999999999995</v>
      </c>
      <c r="R34">
        <f t="shared" si="5"/>
        <v>17.999999999999993</v>
      </c>
      <c r="S34">
        <f t="shared" si="2"/>
        <v>22.8</v>
      </c>
      <c r="T34">
        <f>S34*Constants!$B$2</f>
        <v>63.839999999999996</v>
      </c>
      <c r="V34">
        <f t="shared" si="3"/>
        <v>0</v>
      </c>
      <c r="W34">
        <f t="shared" si="4"/>
        <v>0</v>
      </c>
      <c r="AA34" s="8"/>
      <c r="AJ34" s="4"/>
    </row>
    <row r="35" spans="1:36" x14ac:dyDescent="0.25">
      <c r="A35">
        <v>34</v>
      </c>
      <c r="B35">
        <v>7</v>
      </c>
      <c r="C35" t="s">
        <v>57</v>
      </c>
      <c r="D35" s="16" t="s">
        <v>602</v>
      </c>
      <c r="E35" s="16" t="s">
        <v>601</v>
      </c>
      <c r="F35">
        <v>3.71</v>
      </c>
      <c r="G35" t="s">
        <v>44</v>
      </c>
      <c r="H35">
        <v>0</v>
      </c>
      <c r="I35">
        <v>8.5500000000000007</v>
      </c>
      <c r="L35">
        <f>Constants!$B$2</f>
        <v>2.8</v>
      </c>
      <c r="M35" t="str">
        <f t="shared" si="0"/>
        <v>N/A</v>
      </c>
      <c r="N35">
        <f>P35*Constants!$E$2</f>
        <v>0</v>
      </c>
      <c r="P35">
        <f t="shared" si="1"/>
        <v>0</v>
      </c>
      <c r="Q35">
        <f>P35*Constants!$B$3</f>
        <v>0</v>
      </c>
      <c r="R35">
        <f t="shared" si="5"/>
        <v>0</v>
      </c>
      <c r="S35">
        <f t="shared" si="2"/>
        <v>8.5500000000000007</v>
      </c>
      <c r="T35">
        <f>S35*Constants!$B$2</f>
        <v>23.94</v>
      </c>
      <c r="V35">
        <f t="shared" si="3"/>
        <v>0</v>
      </c>
      <c r="W35">
        <f t="shared" si="4"/>
        <v>0</v>
      </c>
      <c r="AA35" s="8"/>
      <c r="AJ35" s="4"/>
    </row>
    <row r="36" spans="1:36" x14ac:dyDescent="0.25">
      <c r="A36">
        <v>35</v>
      </c>
      <c r="B36">
        <v>7</v>
      </c>
      <c r="C36" t="s">
        <v>49</v>
      </c>
      <c r="D36" s="16" t="s">
        <v>603</v>
      </c>
      <c r="F36">
        <v>24.68</v>
      </c>
      <c r="G36">
        <v>90</v>
      </c>
      <c r="H36">
        <v>3.6</v>
      </c>
      <c r="I36">
        <f>2*(7.8+3.6)</f>
        <v>22.8</v>
      </c>
      <c r="L36">
        <f>Constants!$B$2</f>
        <v>2.8</v>
      </c>
      <c r="M36">
        <f t="shared" si="0"/>
        <v>90</v>
      </c>
      <c r="N36">
        <f>P36*Constants!$E$2</f>
        <v>6.12</v>
      </c>
      <c r="P36">
        <f t="shared" si="1"/>
        <v>3.6</v>
      </c>
      <c r="Q36">
        <f>P36*Constants!$B$3</f>
        <v>15.119999999999997</v>
      </c>
      <c r="R36">
        <f t="shared" si="5"/>
        <v>8.9999999999999964</v>
      </c>
      <c r="S36">
        <f t="shared" si="2"/>
        <v>19.2</v>
      </c>
      <c r="T36">
        <f>S36*Constants!$B$2</f>
        <v>53.76</v>
      </c>
      <c r="V36">
        <f t="shared" si="3"/>
        <v>0</v>
      </c>
      <c r="W36">
        <f t="shared" si="4"/>
        <v>0</v>
      </c>
      <c r="AA36" s="8"/>
      <c r="AJ36" s="4"/>
    </row>
    <row r="37" spans="1:36" x14ac:dyDescent="0.25">
      <c r="A37">
        <v>36</v>
      </c>
      <c r="B37">
        <v>7</v>
      </c>
      <c r="C37" t="s">
        <v>57</v>
      </c>
      <c r="D37" s="16" t="s">
        <v>604</v>
      </c>
      <c r="E37" s="16" t="s">
        <v>603</v>
      </c>
      <c r="F37">
        <v>3.71</v>
      </c>
      <c r="G37" t="s">
        <v>44</v>
      </c>
      <c r="H37">
        <v>0</v>
      </c>
      <c r="I37">
        <v>8.5500000000000007</v>
      </c>
      <c r="L37">
        <f>Constants!$B$2</f>
        <v>2.8</v>
      </c>
      <c r="M37" t="str">
        <f t="shared" si="0"/>
        <v>N/A</v>
      </c>
      <c r="N37">
        <f>P37*Constants!$E$2</f>
        <v>0</v>
      </c>
      <c r="P37">
        <f t="shared" si="1"/>
        <v>0</v>
      </c>
      <c r="Q37">
        <f>P37*Constants!$B$3</f>
        <v>0</v>
      </c>
      <c r="R37">
        <f t="shared" si="5"/>
        <v>0</v>
      </c>
      <c r="S37">
        <f t="shared" si="2"/>
        <v>8.5500000000000007</v>
      </c>
      <c r="T37">
        <f>S37*Constants!$B$2</f>
        <v>23.94</v>
      </c>
      <c r="V37">
        <f t="shared" si="3"/>
        <v>0</v>
      </c>
      <c r="W37">
        <f t="shared" si="4"/>
        <v>0</v>
      </c>
      <c r="AA37" s="8"/>
      <c r="AJ37" s="4"/>
    </row>
    <row r="38" spans="1:36" x14ac:dyDescent="0.25">
      <c r="A38">
        <v>37</v>
      </c>
      <c r="B38">
        <v>7</v>
      </c>
      <c r="C38" t="s">
        <v>54</v>
      </c>
      <c r="D38" s="16" t="s">
        <v>605</v>
      </c>
      <c r="F38">
        <v>24.86</v>
      </c>
      <c r="G38">
        <v>90</v>
      </c>
      <c r="H38">
        <v>3.6</v>
      </c>
      <c r="I38">
        <f>2*(7.8+3.6)</f>
        <v>22.8</v>
      </c>
      <c r="L38">
        <f>Constants!$B$2</f>
        <v>2.8</v>
      </c>
      <c r="M38">
        <f t="shared" si="0"/>
        <v>90</v>
      </c>
      <c r="N38">
        <f>P38*Constants!$E$2</f>
        <v>6.12</v>
      </c>
      <c r="P38">
        <f t="shared" si="1"/>
        <v>3.6</v>
      </c>
      <c r="Q38">
        <f>P38*Constants!$B$3</f>
        <v>15.119999999999997</v>
      </c>
      <c r="R38">
        <f t="shared" si="5"/>
        <v>8.9999999999999964</v>
      </c>
      <c r="S38">
        <f t="shared" si="2"/>
        <v>19.2</v>
      </c>
      <c r="T38">
        <f>S38*Constants!$B$2</f>
        <v>53.76</v>
      </c>
      <c r="V38">
        <f t="shared" si="3"/>
        <v>0</v>
      </c>
      <c r="W38">
        <f t="shared" si="4"/>
        <v>0</v>
      </c>
      <c r="AA38" s="8"/>
      <c r="AJ38" s="4"/>
    </row>
    <row r="39" spans="1:36" x14ac:dyDescent="0.25">
      <c r="A39">
        <v>38</v>
      </c>
      <c r="B39">
        <v>7</v>
      </c>
      <c r="C39" t="s">
        <v>57</v>
      </c>
      <c r="D39" s="16" t="s">
        <v>606</v>
      </c>
      <c r="E39" s="16" t="s">
        <v>605</v>
      </c>
      <c r="F39">
        <v>3.71</v>
      </c>
      <c r="G39" t="s">
        <v>44</v>
      </c>
      <c r="H39">
        <v>0</v>
      </c>
      <c r="I39">
        <v>8.5500000000000007</v>
      </c>
      <c r="L39">
        <f>Constants!$B$2</f>
        <v>2.8</v>
      </c>
      <c r="M39" t="str">
        <f t="shared" si="0"/>
        <v>N/A</v>
      </c>
      <c r="N39">
        <f>P39*Constants!$E$2</f>
        <v>0</v>
      </c>
      <c r="P39">
        <f t="shared" si="1"/>
        <v>0</v>
      </c>
      <c r="Q39">
        <f>P39*Constants!$B$3</f>
        <v>0</v>
      </c>
      <c r="R39">
        <f t="shared" si="5"/>
        <v>0</v>
      </c>
      <c r="S39">
        <f t="shared" si="2"/>
        <v>8.5500000000000007</v>
      </c>
      <c r="T39">
        <f>S39*Constants!$B$2</f>
        <v>23.94</v>
      </c>
      <c r="V39">
        <f t="shared" si="3"/>
        <v>0</v>
      </c>
      <c r="W39">
        <f t="shared" si="4"/>
        <v>0</v>
      </c>
      <c r="AA39" s="8"/>
      <c r="AJ39" s="4"/>
    </row>
    <row r="40" spans="1:36" x14ac:dyDescent="0.25">
      <c r="A40">
        <v>39</v>
      </c>
      <c r="B40">
        <v>7</v>
      </c>
      <c r="C40" t="s">
        <v>55</v>
      </c>
      <c r="D40" s="16" t="s">
        <v>607</v>
      </c>
      <c r="F40">
        <v>24.63</v>
      </c>
      <c r="G40" t="s">
        <v>44</v>
      </c>
      <c r="H40">
        <v>0</v>
      </c>
      <c r="I40">
        <f>2*(1.2*4+1.2*4.5)</f>
        <v>20.399999999999999</v>
      </c>
      <c r="L40">
        <f>Constants!$B$2</f>
        <v>2.8</v>
      </c>
      <c r="M40" t="str">
        <f t="shared" si="0"/>
        <v>N/A</v>
      </c>
      <c r="N40">
        <f>P40*Constants!$E$2</f>
        <v>0</v>
      </c>
      <c r="P40">
        <f t="shared" si="1"/>
        <v>0</v>
      </c>
      <c r="Q40">
        <f>P40*Constants!$B$3</f>
        <v>0</v>
      </c>
      <c r="R40">
        <f t="shared" si="5"/>
        <v>0</v>
      </c>
      <c r="S40">
        <f t="shared" si="2"/>
        <v>20.399999999999999</v>
      </c>
      <c r="T40">
        <f>S40*Constants!$B$2</f>
        <v>57.11999999999999</v>
      </c>
      <c r="V40">
        <f t="shared" si="3"/>
        <v>0</v>
      </c>
      <c r="W40">
        <f t="shared" si="4"/>
        <v>0</v>
      </c>
      <c r="AA40" s="8"/>
      <c r="AJ40" s="4"/>
    </row>
    <row r="41" spans="1:36" x14ac:dyDescent="0.25">
      <c r="D41" s="15"/>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4"/>
    </row>
    <row r="443" spans="4:4" x14ac:dyDescent="0.25">
      <c r="D443" s="14"/>
    </row>
    <row r="444" spans="4:4" x14ac:dyDescent="0.25">
      <c r="D444" s="13"/>
    </row>
    <row r="445" spans="4:4" x14ac:dyDescent="0.25">
      <c r="D445" s="13"/>
    </row>
    <row r="446" spans="4:4" x14ac:dyDescent="0.25">
      <c r="D446" s="13"/>
    </row>
    <row r="447" spans="4:4" x14ac:dyDescent="0.25">
      <c r="D447" s="13"/>
    </row>
    <row r="448" spans="4:4" x14ac:dyDescent="0.25">
      <c r="D448" s="13"/>
    </row>
    <row r="449" spans="4:4" x14ac:dyDescent="0.25">
      <c r="D449" s="13"/>
    </row>
    <row r="450" spans="4:4" x14ac:dyDescent="0.25">
      <c r="D450" s="13"/>
    </row>
    <row r="451" spans="4:4" x14ac:dyDescent="0.25">
      <c r="D451" s="13"/>
    </row>
  </sheetData>
  <phoneticPr fontId="5" type="noConversion"/>
  <pageMargins left="0.7" right="0.7" top="0.78740157499999996" bottom="0.78740157499999996"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9:N48"/>
  <sheetViews>
    <sheetView topLeftCell="A4" zoomScaleNormal="100" workbookViewId="0">
      <selection activeCell="T12" sqref="T12"/>
    </sheetView>
  </sheetViews>
  <sheetFormatPr baseColWidth="10" defaultRowHeight="15" x14ac:dyDescent="0.25"/>
  <sheetData>
    <row r="19" spans="11:14" ht="21" x14ac:dyDescent="0.35">
      <c r="N19" s="6"/>
    </row>
    <row r="26" spans="11:14" ht="21" x14ac:dyDescent="0.35">
      <c r="K26" s="5"/>
    </row>
    <row r="48" spans="2:11" ht="21" x14ac:dyDescent="0.35">
      <c r="B48" s="6"/>
      <c r="K48" s="6"/>
    </row>
  </sheetData>
  <pageMargins left="0.7" right="0.7" top="0.78740157499999996" bottom="0.78740157499999996"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2"/>
  <sheetViews>
    <sheetView zoomScaleNormal="100" workbookViewId="0">
      <pane xSplit="4" ySplit="1" topLeftCell="E14" activePane="bottomRight" state="frozen"/>
      <selection pane="topRight" activeCell="F1" sqref="F1"/>
      <selection pane="bottomLeft" activeCell="A2" sqref="A2"/>
      <selection pane="bottomRight" activeCell="C38" sqref="C38"/>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59</v>
      </c>
      <c r="D2" s="16" t="s">
        <v>612</v>
      </c>
      <c r="F2">
        <v>14.55</v>
      </c>
      <c r="G2" t="s">
        <v>44</v>
      </c>
      <c r="H2">
        <v>0</v>
      </c>
      <c r="I2">
        <f>2*1.2*(3+4)</f>
        <v>16.8</v>
      </c>
      <c r="L2">
        <f>Constants!$B$2</f>
        <v>2.8</v>
      </c>
      <c r="M2" t="str">
        <f t="shared" ref="M2:M41" si="0">IF(N2&gt;0,G2,"N/A")</f>
        <v>N/A</v>
      </c>
      <c r="N2">
        <f>P2*Constants!$E$2</f>
        <v>0</v>
      </c>
      <c r="P2">
        <f>H2</f>
        <v>0</v>
      </c>
      <c r="Q2">
        <f>P2*Constants!$B$3</f>
        <v>0</v>
      </c>
      <c r="R2">
        <f>IF(Q2-N2&lt;=0, 0, Q2-N2)</f>
        <v>0</v>
      </c>
      <c r="S2">
        <f>I2-P2</f>
        <v>16.8</v>
      </c>
      <c r="T2">
        <f>S2*Constants!$B$2</f>
        <v>47.04</v>
      </c>
      <c r="V2">
        <f>IF(B2="E",1,0)</f>
        <v>0</v>
      </c>
      <c r="W2">
        <f>IF(B2=10,1,0)</f>
        <v>0</v>
      </c>
      <c r="AA2" s="8"/>
      <c r="AJ2" s="4"/>
    </row>
    <row r="3" spans="1:40" x14ac:dyDescent="0.25">
      <c r="A3">
        <v>2</v>
      </c>
      <c r="B3">
        <v>7</v>
      </c>
      <c r="C3" t="s">
        <v>49</v>
      </c>
      <c r="D3" s="16" t="s">
        <v>613</v>
      </c>
      <c r="F3">
        <v>24.42</v>
      </c>
      <c r="G3">
        <v>90</v>
      </c>
      <c r="H3">
        <v>2</v>
      </c>
      <c r="I3">
        <f>2*(7.8+3.6)</f>
        <v>22.8</v>
      </c>
      <c r="L3">
        <f>Constants!$B$2</f>
        <v>2.8</v>
      </c>
      <c r="M3">
        <f t="shared" si="0"/>
        <v>90</v>
      </c>
      <c r="N3">
        <f>P3*Constants!$E$2</f>
        <v>3.4</v>
      </c>
      <c r="P3">
        <f t="shared" ref="P3:P41" si="1">H3</f>
        <v>2</v>
      </c>
      <c r="Q3">
        <f>P3*Constants!$B$3</f>
        <v>8.3999999999999986</v>
      </c>
      <c r="R3">
        <f>IF(Q3-N3&lt;=0, 0, Q3-N3)</f>
        <v>4.9999999999999982</v>
      </c>
      <c r="S3">
        <f t="shared" ref="S3:S41" si="2">I3-P3</f>
        <v>20.8</v>
      </c>
      <c r="T3">
        <f>S3*Constants!$B$2</f>
        <v>58.239999999999995</v>
      </c>
      <c r="V3">
        <f t="shared" ref="V3:V41" si="3">IF(B3="E",1,0)</f>
        <v>0</v>
      </c>
      <c r="W3">
        <f t="shared" ref="W3:W41" si="4">IF(B3=10,1,0)</f>
        <v>0</v>
      </c>
      <c r="AA3" s="8"/>
      <c r="AJ3" s="4"/>
    </row>
    <row r="4" spans="1:40" x14ac:dyDescent="0.25">
      <c r="A4">
        <v>3</v>
      </c>
      <c r="B4">
        <v>7</v>
      </c>
      <c r="C4" t="s">
        <v>57</v>
      </c>
      <c r="D4" s="16" t="s">
        <v>614</v>
      </c>
      <c r="E4" s="16" t="s">
        <v>613</v>
      </c>
      <c r="F4">
        <v>3.71</v>
      </c>
      <c r="G4" t="s">
        <v>44</v>
      </c>
      <c r="H4">
        <v>0</v>
      </c>
      <c r="I4">
        <v>7.44</v>
      </c>
      <c r="L4">
        <f>Constants!$B$2</f>
        <v>2.8</v>
      </c>
      <c r="M4" t="str">
        <f t="shared" si="0"/>
        <v>N/A</v>
      </c>
      <c r="N4">
        <f>P4*Constants!$E$2</f>
        <v>0</v>
      </c>
      <c r="P4">
        <f>H4</f>
        <v>0</v>
      </c>
      <c r="Q4">
        <f>P4*Constants!$B$3</f>
        <v>0</v>
      </c>
      <c r="R4">
        <f t="shared" ref="R4:R41" si="5">IF(Q4-N4&lt;=0, 0, Q4-N4)</f>
        <v>0</v>
      </c>
      <c r="S4">
        <f>I4-P4</f>
        <v>7.44</v>
      </c>
      <c r="T4">
        <f>S4*Constants!$B$2</f>
        <v>20.832000000000001</v>
      </c>
      <c r="V4">
        <f>IF(B4="E",1,0)</f>
        <v>0</v>
      </c>
      <c r="W4">
        <f>IF(B4=10,1,0)</f>
        <v>0</v>
      </c>
      <c r="AA4" s="8"/>
      <c r="AJ4" s="4"/>
    </row>
    <row r="5" spans="1:40" x14ac:dyDescent="0.25">
      <c r="A5">
        <v>4</v>
      </c>
      <c r="B5">
        <v>7</v>
      </c>
      <c r="C5" t="s">
        <v>49</v>
      </c>
      <c r="D5" s="16" t="s">
        <v>615</v>
      </c>
      <c r="F5">
        <v>24.68</v>
      </c>
      <c r="G5">
        <v>270</v>
      </c>
      <c r="H5">
        <v>3.6</v>
      </c>
      <c r="I5">
        <f>2*(7.8+3.6)</f>
        <v>22.8</v>
      </c>
      <c r="L5">
        <f>Constants!$B$2</f>
        <v>2.8</v>
      </c>
      <c r="M5">
        <f t="shared" si="0"/>
        <v>270</v>
      </c>
      <c r="N5">
        <f>P5*Constants!$E$2</f>
        <v>6.12</v>
      </c>
      <c r="P5">
        <f t="shared" si="1"/>
        <v>3.6</v>
      </c>
      <c r="Q5">
        <f>P5*Constants!$B$3</f>
        <v>15.119999999999997</v>
      </c>
      <c r="R5">
        <f t="shared" si="5"/>
        <v>8.9999999999999964</v>
      </c>
      <c r="S5">
        <f t="shared" si="2"/>
        <v>19.2</v>
      </c>
      <c r="T5">
        <f>S5*Constants!$B$2</f>
        <v>53.76</v>
      </c>
      <c r="V5">
        <f t="shared" si="3"/>
        <v>0</v>
      </c>
      <c r="W5">
        <f t="shared" si="4"/>
        <v>0</v>
      </c>
      <c r="AA5" s="8"/>
      <c r="AJ5" s="4"/>
    </row>
    <row r="6" spans="1:40" x14ac:dyDescent="0.25">
      <c r="A6">
        <v>5</v>
      </c>
      <c r="B6">
        <v>7</v>
      </c>
      <c r="C6" t="s">
        <v>57</v>
      </c>
      <c r="D6" s="16" t="s">
        <v>616</v>
      </c>
      <c r="E6" s="16" t="s">
        <v>615</v>
      </c>
      <c r="F6">
        <v>3.71</v>
      </c>
      <c r="G6" t="s">
        <v>44</v>
      </c>
      <c r="H6">
        <v>0</v>
      </c>
      <c r="I6">
        <v>7.44</v>
      </c>
      <c r="L6">
        <f>Constants!$B$2</f>
        <v>2.8</v>
      </c>
      <c r="M6" t="str">
        <f t="shared" si="0"/>
        <v>N/A</v>
      </c>
      <c r="N6">
        <f>P6*Constants!$E$2</f>
        <v>0</v>
      </c>
      <c r="P6">
        <f>H6</f>
        <v>0</v>
      </c>
      <c r="Q6">
        <f>P6*Constants!$B$3</f>
        <v>0</v>
      </c>
      <c r="R6">
        <f t="shared" si="5"/>
        <v>0</v>
      </c>
      <c r="S6">
        <f>I6-P6</f>
        <v>7.44</v>
      </c>
      <c r="T6">
        <f>S6*Constants!$B$2</f>
        <v>20.832000000000001</v>
      </c>
      <c r="V6">
        <f>IF(B6="E",1,0)</f>
        <v>0</v>
      </c>
      <c r="W6">
        <f>IF(B6=10,1,0)</f>
        <v>0</v>
      </c>
      <c r="AA6" s="8"/>
      <c r="AJ6" s="4"/>
    </row>
    <row r="7" spans="1:40" x14ac:dyDescent="0.25">
      <c r="A7">
        <v>6</v>
      </c>
      <c r="B7">
        <v>7</v>
      </c>
      <c r="C7" t="s">
        <v>49</v>
      </c>
      <c r="D7" s="16" t="s">
        <v>617</v>
      </c>
      <c r="F7">
        <v>42.5</v>
      </c>
      <c r="G7">
        <v>270</v>
      </c>
      <c r="H7">
        <v>7.2</v>
      </c>
      <c r="I7">
        <f>2*1.2*(5+6.5)</f>
        <v>27.599999999999998</v>
      </c>
      <c r="L7">
        <f>Constants!$B$2</f>
        <v>2.8</v>
      </c>
      <c r="M7">
        <f t="shared" si="0"/>
        <v>270</v>
      </c>
      <c r="N7">
        <f>P7*Constants!$E$2</f>
        <v>12.24</v>
      </c>
      <c r="P7">
        <f t="shared" ref="P7:P8" si="6">H7</f>
        <v>7.2</v>
      </c>
      <c r="Q7">
        <f>P7*Constants!$B$3</f>
        <v>30.239999999999995</v>
      </c>
      <c r="R7">
        <f t="shared" si="5"/>
        <v>17.999999999999993</v>
      </c>
      <c r="S7">
        <f t="shared" ref="S7:S8" si="7">I7-P7</f>
        <v>20.399999999999999</v>
      </c>
      <c r="T7">
        <f>S7*Constants!$B$2</f>
        <v>57.11999999999999</v>
      </c>
      <c r="V7">
        <f t="shared" ref="V7:V8" si="8">IF(B7="E",1,0)</f>
        <v>0</v>
      </c>
      <c r="W7">
        <f t="shared" ref="W7:W8" si="9">IF(B7=10,1,0)</f>
        <v>0</v>
      </c>
      <c r="AA7" s="8"/>
      <c r="AJ7" s="4"/>
    </row>
    <row r="8" spans="1:40" x14ac:dyDescent="0.25">
      <c r="A8">
        <v>7</v>
      </c>
      <c r="B8">
        <v>7</v>
      </c>
      <c r="C8" t="s">
        <v>57</v>
      </c>
      <c r="D8" s="16" t="s">
        <v>618</v>
      </c>
      <c r="E8" s="16" t="s">
        <v>617</v>
      </c>
      <c r="F8">
        <v>3.71</v>
      </c>
      <c r="G8" t="s">
        <v>44</v>
      </c>
      <c r="H8">
        <v>0</v>
      </c>
      <c r="I8">
        <v>7.44</v>
      </c>
      <c r="L8">
        <f>Constants!$B$2</f>
        <v>2.8</v>
      </c>
      <c r="M8" t="str">
        <f t="shared" si="0"/>
        <v>N/A</v>
      </c>
      <c r="N8">
        <f>P8*Constants!$E$2</f>
        <v>0</v>
      </c>
      <c r="P8">
        <f t="shared" si="6"/>
        <v>0</v>
      </c>
      <c r="Q8">
        <f>P8*Constants!$B$3</f>
        <v>0</v>
      </c>
      <c r="R8">
        <f t="shared" si="5"/>
        <v>0</v>
      </c>
      <c r="S8">
        <f t="shared" si="7"/>
        <v>7.44</v>
      </c>
      <c r="T8">
        <f>S8*Constants!$B$2</f>
        <v>20.832000000000001</v>
      </c>
      <c r="V8">
        <f t="shared" si="8"/>
        <v>0</v>
      </c>
      <c r="W8">
        <f t="shared" si="9"/>
        <v>0</v>
      </c>
      <c r="AA8" s="8"/>
      <c r="AJ8" s="4"/>
    </row>
    <row r="9" spans="1:40" x14ac:dyDescent="0.25">
      <c r="A9">
        <v>8</v>
      </c>
      <c r="B9">
        <v>7</v>
      </c>
      <c r="C9" t="s">
        <v>54</v>
      </c>
      <c r="D9" s="16" t="s">
        <v>619</v>
      </c>
      <c r="F9">
        <v>24.27</v>
      </c>
      <c r="G9">
        <v>270</v>
      </c>
      <c r="H9">
        <v>3.6</v>
      </c>
      <c r="I9">
        <f>2*(7.8+3.6)</f>
        <v>22.8</v>
      </c>
      <c r="L9">
        <f>Constants!$B$2</f>
        <v>2.8</v>
      </c>
      <c r="M9">
        <f t="shared" si="0"/>
        <v>270</v>
      </c>
      <c r="N9">
        <f>P9*Constants!$E$2</f>
        <v>6.12</v>
      </c>
      <c r="P9">
        <f t="shared" si="1"/>
        <v>3.6</v>
      </c>
      <c r="Q9">
        <f>P9*Constants!$B$3</f>
        <v>15.119999999999997</v>
      </c>
      <c r="R9">
        <f t="shared" si="5"/>
        <v>8.9999999999999964</v>
      </c>
      <c r="S9">
        <f t="shared" si="2"/>
        <v>19.2</v>
      </c>
      <c r="T9">
        <f>S9*Constants!$B$2</f>
        <v>53.76</v>
      </c>
      <c r="V9">
        <f t="shared" si="3"/>
        <v>0</v>
      </c>
      <c r="W9">
        <f t="shared" si="4"/>
        <v>0</v>
      </c>
      <c r="AA9" s="8"/>
      <c r="AJ9" s="4"/>
    </row>
    <row r="10" spans="1:40" x14ac:dyDescent="0.25">
      <c r="A10">
        <v>9</v>
      </c>
      <c r="B10">
        <v>7</v>
      </c>
      <c r="C10" t="s">
        <v>57</v>
      </c>
      <c r="D10" s="16" t="s">
        <v>620</v>
      </c>
      <c r="E10" s="16" t="s">
        <v>619</v>
      </c>
      <c r="F10">
        <v>3.71</v>
      </c>
      <c r="G10" t="s">
        <v>44</v>
      </c>
      <c r="H10">
        <v>0</v>
      </c>
      <c r="I10">
        <v>7.44</v>
      </c>
      <c r="L10">
        <f>Constants!$B$2</f>
        <v>2.8</v>
      </c>
      <c r="M10" t="str">
        <f>IF(N10&gt;0,G10,"N/A")</f>
        <v>N/A</v>
      </c>
      <c r="N10">
        <f>P10*Constants!$E$2</f>
        <v>0</v>
      </c>
      <c r="P10">
        <f>H10</f>
        <v>0</v>
      </c>
      <c r="Q10">
        <f>P10*Constants!$B$3</f>
        <v>0</v>
      </c>
      <c r="R10">
        <f>IF(Q10-N10&lt;=0, 0, Q10-N10)</f>
        <v>0</v>
      </c>
      <c r="S10">
        <f>I10-P10</f>
        <v>7.44</v>
      </c>
      <c r="T10">
        <f>S10*Constants!$B$2</f>
        <v>20.832000000000001</v>
      </c>
      <c r="V10">
        <f>IF(B10="E",1,0)</f>
        <v>0</v>
      </c>
      <c r="W10">
        <f>IF(B10=10,1,0)</f>
        <v>0</v>
      </c>
      <c r="AA10" s="8"/>
      <c r="AJ10" s="4"/>
    </row>
    <row r="11" spans="1:40" x14ac:dyDescent="0.25">
      <c r="A11">
        <v>10</v>
      </c>
      <c r="B11">
        <v>7</v>
      </c>
      <c r="C11" t="s">
        <v>49</v>
      </c>
      <c r="D11" s="16" t="s">
        <v>621</v>
      </c>
      <c r="F11">
        <v>24.27</v>
      </c>
      <c r="G11">
        <v>270</v>
      </c>
      <c r="H11">
        <v>3.6</v>
      </c>
      <c r="I11">
        <f>2*(7.8+3.6)</f>
        <v>22.8</v>
      </c>
      <c r="L11">
        <f>Constants!$B$2</f>
        <v>2.8</v>
      </c>
      <c r="M11">
        <f t="shared" ref="M11" si="10">IF(N11&gt;0,G11,"N/A")</f>
        <v>270</v>
      </c>
      <c r="N11">
        <f>P11*Constants!$E$2</f>
        <v>6.12</v>
      </c>
      <c r="P11">
        <f t="shared" ref="P11" si="11">H11</f>
        <v>3.6</v>
      </c>
      <c r="Q11">
        <f>P11*Constants!$B$3</f>
        <v>15.119999999999997</v>
      </c>
      <c r="R11">
        <f t="shared" ref="R11" si="12">IF(Q11-N11&lt;=0, 0, Q11-N11)</f>
        <v>8.9999999999999964</v>
      </c>
      <c r="S11">
        <f t="shared" ref="S11" si="13">I11-P11</f>
        <v>19.2</v>
      </c>
      <c r="T11">
        <f>S11*Constants!$B$2</f>
        <v>53.76</v>
      </c>
      <c r="V11">
        <f t="shared" ref="V11" si="14">IF(B11="E",1,0)</f>
        <v>0</v>
      </c>
      <c r="W11">
        <f t="shared" ref="W11" si="15">IF(B11=10,1,0)</f>
        <v>0</v>
      </c>
      <c r="AA11" s="8"/>
      <c r="AJ11" s="4"/>
    </row>
    <row r="12" spans="1:40" x14ac:dyDescent="0.25">
      <c r="A12">
        <v>11</v>
      </c>
      <c r="B12">
        <v>7</v>
      </c>
      <c r="C12" t="s">
        <v>57</v>
      </c>
      <c r="D12" s="16" t="s">
        <v>648</v>
      </c>
      <c r="E12" s="16" t="s">
        <v>621</v>
      </c>
      <c r="F12">
        <v>3.71</v>
      </c>
      <c r="G12" t="s">
        <v>44</v>
      </c>
      <c r="H12">
        <v>0</v>
      </c>
      <c r="I12">
        <v>7.44</v>
      </c>
      <c r="L12">
        <f>Constants!$B$2</f>
        <v>2.8</v>
      </c>
      <c r="M12" t="str">
        <f t="shared" si="0"/>
        <v>N/A</v>
      </c>
      <c r="N12">
        <f>P12*Constants!$E$2</f>
        <v>0</v>
      </c>
      <c r="P12">
        <f t="shared" si="1"/>
        <v>0</v>
      </c>
      <c r="Q12">
        <f>P12*Constants!$B$3</f>
        <v>0</v>
      </c>
      <c r="R12">
        <f t="shared" si="5"/>
        <v>0</v>
      </c>
      <c r="S12">
        <f t="shared" si="2"/>
        <v>7.44</v>
      </c>
      <c r="T12">
        <f>S12*Constants!$B$2</f>
        <v>20.832000000000001</v>
      </c>
      <c r="V12">
        <f t="shared" si="3"/>
        <v>0</v>
      </c>
      <c r="W12">
        <f t="shared" si="4"/>
        <v>0</v>
      </c>
      <c r="AA12" s="8"/>
      <c r="AJ12" s="4"/>
    </row>
    <row r="13" spans="1:40" x14ac:dyDescent="0.25">
      <c r="A13">
        <v>12</v>
      </c>
      <c r="B13">
        <v>7</v>
      </c>
      <c r="C13" t="s">
        <v>49</v>
      </c>
      <c r="D13" s="16" t="s">
        <v>622</v>
      </c>
      <c r="F13">
        <v>24.42</v>
      </c>
      <c r="G13">
        <v>270</v>
      </c>
      <c r="H13">
        <v>3.6</v>
      </c>
      <c r="I13">
        <f>2*(7.8+3.6)</f>
        <v>22.8</v>
      </c>
      <c r="L13">
        <f>Constants!$B$2</f>
        <v>2.8</v>
      </c>
      <c r="M13">
        <f t="shared" si="0"/>
        <v>270</v>
      </c>
      <c r="N13">
        <f>P13*Constants!$E$2</f>
        <v>6.12</v>
      </c>
      <c r="P13">
        <f t="shared" si="1"/>
        <v>3.6</v>
      </c>
      <c r="Q13">
        <f>P13*Constants!$B$3</f>
        <v>15.119999999999997</v>
      </c>
      <c r="R13">
        <f t="shared" si="5"/>
        <v>8.9999999999999964</v>
      </c>
      <c r="S13">
        <f t="shared" si="2"/>
        <v>19.2</v>
      </c>
      <c r="T13">
        <f>S13*Constants!$B$2</f>
        <v>53.76</v>
      </c>
      <c r="V13">
        <f t="shared" si="3"/>
        <v>0</v>
      </c>
      <c r="W13">
        <f t="shared" si="4"/>
        <v>0</v>
      </c>
      <c r="AA13" s="8"/>
      <c r="AJ13" s="4"/>
    </row>
    <row r="14" spans="1:40" x14ac:dyDescent="0.25">
      <c r="A14">
        <v>13</v>
      </c>
      <c r="B14">
        <v>7</v>
      </c>
      <c r="C14" t="s">
        <v>57</v>
      </c>
      <c r="D14" s="16" t="s">
        <v>649</v>
      </c>
      <c r="E14" s="16" t="s">
        <v>622</v>
      </c>
      <c r="F14">
        <v>3.71</v>
      </c>
      <c r="G14" t="s">
        <v>44</v>
      </c>
      <c r="H14">
        <v>0</v>
      </c>
      <c r="I14">
        <v>7.44</v>
      </c>
      <c r="L14">
        <f>Constants!$B$2</f>
        <v>2.8</v>
      </c>
      <c r="M14" t="str">
        <f t="shared" si="0"/>
        <v>N/A</v>
      </c>
      <c r="N14">
        <f>P14*Constants!$E$2</f>
        <v>0</v>
      </c>
      <c r="P14">
        <f t="shared" si="1"/>
        <v>0</v>
      </c>
      <c r="Q14">
        <f>P14*Constants!$B$3</f>
        <v>0</v>
      </c>
      <c r="R14">
        <f t="shared" si="5"/>
        <v>0</v>
      </c>
      <c r="S14">
        <f t="shared" si="2"/>
        <v>7.44</v>
      </c>
      <c r="T14">
        <f>S14*Constants!$B$2</f>
        <v>20.832000000000001</v>
      </c>
      <c r="V14">
        <f t="shared" si="3"/>
        <v>0</v>
      </c>
      <c r="W14">
        <f t="shared" si="4"/>
        <v>0</v>
      </c>
      <c r="AA14" s="8"/>
      <c r="AJ14" s="4"/>
    </row>
    <row r="15" spans="1:40" x14ac:dyDescent="0.25">
      <c r="A15">
        <v>14</v>
      </c>
      <c r="B15">
        <v>7</v>
      </c>
      <c r="C15" t="s">
        <v>49</v>
      </c>
      <c r="D15" s="16" t="s">
        <v>623</v>
      </c>
      <c r="F15">
        <v>14.96</v>
      </c>
      <c r="G15" t="s">
        <v>44</v>
      </c>
      <c r="H15">
        <v>0</v>
      </c>
      <c r="I15">
        <f>2*1.2*(3.5+3.5)</f>
        <v>16.8</v>
      </c>
      <c r="L15">
        <f>Constants!$B$2</f>
        <v>2.8</v>
      </c>
      <c r="M15" t="str">
        <f t="shared" si="0"/>
        <v>N/A</v>
      </c>
      <c r="N15">
        <f>P15*Constants!$E$2</f>
        <v>0</v>
      </c>
      <c r="P15">
        <f t="shared" si="1"/>
        <v>0</v>
      </c>
      <c r="Q15">
        <f>P15*Constants!$B$3</f>
        <v>0</v>
      </c>
      <c r="R15">
        <f t="shared" si="5"/>
        <v>0</v>
      </c>
      <c r="S15">
        <f t="shared" si="2"/>
        <v>16.8</v>
      </c>
      <c r="T15">
        <f>S15*Constants!$B$2</f>
        <v>47.04</v>
      </c>
      <c r="V15">
        <f t="shared" si="3"/>
        <v>0</v>
      </c>
      <c r="W15">
        <f t="shared" si="4"/>
        <v>0</v>
      </c>
      <c r="AA15" s="8"/>
      <c r="AJ15" s="4"/>
    </row>
    <row r="16" spans="1:40" x14ac:dyDescent="0.25">
      <c r="A16">
        <v>15</v>
      </c>
      <c r="B16">
        <v>7</v>
      </c>
      <c r="C16" t="s">
        <v>59</v>
      </c>
      <c r="D16" s="16" t="s">
        <v>624</v>
      </c>
      <c r="E16" s="16"/>
      <c r="F16">
        <v>9.17</v>
      </c>
      <c r="G16">
        <v>90</v>
      </c>
      <c r="H16">
        <v>2.4</v>
      </c>
      <c r="I16">
        <f>2*1.2*(2+3.5)</f>
        <v>13.2</v>
      </c>
      <c r="L16">
        <f>Constants!$B$2</f>
        <v>2.8</v>
      </c>
      <c r="M16">
        <f>IF(N16&gt;0,G16,"N/A")</f>
        <v>90</v>
      </c>
      <c r="N16">
        <f>P16*Constants!$E$2</f>
        <v>4.08</v>
      </c>
      <c r="P16">
        <f>H16</f>
        <v>2.4</v>
      </c>
      <c r="Q16">
        <f>P16*Constants!$B$3</f>
        <v>10.079999999999998</v>
      </c>
      <c r="R16">
        <f t="shared" si="5"/>
        <v>5.9999999999999982</v>
      </c>
      <c r="S16">
        <f>I16-P16</f>
        <v>10.799999999999999</v>
      </c>
      <c r="T16">
        <f>S16*Constants!$B$2</f>
        <v>30.239999999999995</v>
      </c>
      <c r="V16">
        <f t="shared" si="3"/>
        <v>0</v>
      </c>
      <c r="W16">
        <f t="shared" si="4"/>
        <v>0</v>
      </c>
      <c r="AA16" s="8"/>
      <c r="AJ16" s="4"/>
    </row>
    <row r="17" spans="1:36" x14ac:dyDescent="0.25">
      <c r="A17">
        <v>16</v>
      </c>
      <c r="B17">
        <v>7</v>
      </c>
      <c r="C17" t="s">
        <v>66</v>
      </c>
      <c r="D17" s="16" t="s">
        <v>625</v>
      </c>
      <c r="F17">
        <v>14.22</v>
      </c>
      <c r="G17">
        <v>90</v>
      </c>
      <c r="H17">
        <v>3.6</v>
      </c>
      <c r="I17">
        <f>2*1.2*(3+3.5)</f>
        <v>15.6</v>
      </c>
      <c r="L17">
        <f>Constants!$B$2</f>
        <v>2.8</v>
      </c>
      <c r="M17">
        <f>IF(N17&gt;0,G17,"N/A")</f>
        <v>90</v>
      </c>
      <c r="N17">
        <f>P17*Constants!$E$2</f>
        <v>6.12</v>
      </c>
      <c r="P17">
        <f>H17</f>
        <v>3.6</v>
      </c>
      <c r="Q17">
        <f>P17*Constants!$B$3</f>
        <v>15.119999999999997</v>
      </c>
      <c r="R17">
        <f t="shared" si="5"/>
        <v>8.9999999999999964</v>
      </c>
      <c r="S17">
        <f>I17-P17</f>
        <v>12</v>
      </c>
      <c r="T17">
        <f>S17*Constants!$B$2</f>
        <v>33.599999999999994</v>
      </c>
      <c r="V17">
        <f t="shared" si="3"/>
        <v>0</v>
      </c>
      <c r="W17">
        <f t="shared" si="4"/>
        <v>0</v>
      </c>
      <c r="AA17" s="8"/>
      <c r="AJ17" s="4"/>
    </row>
    <row r="18" spans="1:36" x14ac:dyDescent="0.25">
      <c r="A18">
        <v>17</v>
      </c>
      <c r="B18">
        <v>7</v>
      </c>
      <c r="C18" t="s">
        <v>49</v>
      </c>
      <c r="D18" s="16" t="s">
        <v>626</v>
      </c>
      <c r="E18" s="16"/>
      <c r="F18">
        <v>25.15</v>
      </c>
      <c r="G18">
        <v>90</v>
      </c>
      <c r="H18">
        <v>3.6</v>
      </c>
      <c r="I18">
        <f>2*(7.8+3.6)</f>
        <v>22.8</v>
      </c>
      <c r="L18">
        <f>Constants!$B$2</f>
        <v>2.8</v>
      </c>
      <c r="M18">
        <f t="shared" si="0"/>
        <v>90</v>
      </c>
      <c r="N18">
        <f>P18*Constants!$E$2</f>
        <v>6.12</v>
      </c>
      <c r="P18">
        <f t="shared" si="1"/>
        <v>3.6</v>
      </c>
      <c r="Q18">
        <f>P18*Constants!$B$3</f>
        <v>15.119999999999997</v>
      </c>
      <c r="R18">
        <f t="shared" si="5"/>
        <v>8.9999999999999964</v>
      </c>
      <c r="S18">
        <f t="shared" si="2"/>
        <v>19.2</v>
      </c>
      <c r="T18">
        <f>S18*Constants!$B$2</f>
        <v>53.76</v>
      </c>
      <c r="V18">
        <f t="shared" si="3"/>
        <v>0</v>
      </c>
      <c r="W18">
        <f t="shared" si="4"/>
        <v>0</v>
      </c>
      <c r="AA18" s="8"/>
      <c r="AJ18" s="4"/>
    </row>
    <row r="19" spans="1:36" x14ac:dyDescent="0.25">
      <c r="A19">
        <v>18</v>
      </c>
      <c r="B19">
        <v>7</v>
      </c>
      <c r="C19" t="s">
        <v>57</v>
      </c>
      <c r="D19" s="16" t="s">
        <v>627</v>
      </c>
      <c r="E19" s="16" t="s">
        <v>626</v>
      </c>
      <c r="F19">
        <v>3.71</v>
      </c>
      <c r="G19" t="s">
        <v>44</v>
      </c>
      <c r="H19">
        <v>0</v>
      </c>
      <c r="I19">
        <v>8.5500000000000007</v>
      </c>
      <c r="L19">
        <f>Constants!$B$2</f>
        <v>2.8</v>
      </c>
      <c r="M19" t="str">
        <f t="shared" ref="M19" si="16">IF(N19&gt;0,G19,"N/A")</f>
        <v>N/A</v>
      </c>
      <c r="N19">
        <f>P19*Constants!$E$2</f>
        <v>0</v>
      </c>
      <c r="P19">
        <f t="shared" ref="P19" si="17">H19</f>
        <v>0</v>
      </c>
      <c r="Q19">
        <f>P19*Constants!$B$3</f>
        <v>0</v>
      </c>
      <c r="R19">
        <f t="shared" ref="R19" si="18">IF(Q19-N19&lt;=0, 0, Q19-N19)</f>
        <v>0</v>
      </c>
      <c r="S19">
        <f t="shared" ref="S19" si="19">I19-P19</f>
        <v>8.5500000000000007</v>
      </c>
      <c r="T19">
        <f>S19*Constants!$B$2</f>
        <v>23.94</v>
      </c>
      <c r="V19">
        <f t="shared" ref="V19" si="20">IF(B19="E",1,0)</f>
        <v>0</v>
      </c>
      <c r="W19">
        <f t="shared" ref="W19" si="21">IF(B19=10,1,0)</f>
        <v>0</v>
      </c>
      <c r="AA19" s="8"/>
      <c r="AJ19" s="4"/>
    </row>
    <row r="20" spans="1:36" x14ac:dyDescent="0.25">
      <c r="A20">
        <v>19</v>
      </c>
      <c r="B20">
        <v>7</v>
      </c>
      <c r="C20" t="s">
        <v>49</v>
      </c>
      <c r="D20" s="16" t="s">
        <v>632</v>
      </c>
      <c r="F20">
        <v>25.15</v>
      </c>
      <c r="G20">
        <v>270</v>
      </c>
      <c r="H20">
        <v>3.6</v>
      </c>
      <c r="I20">
        <f>2*(7.8+3.6)</f>
        <v>22.8</v>
      </c>
      <c r="L20">
        <f>Constants!$B$2</f>
        <v>2.8</v>
      </c>
      <c r="M20">
        <f t="shared" si="0"/>
        <v>270</v>
      </c>
      <c r="N20">
        <f>P20*Constants!$E$2</f>
        <v>6.12</v>
      </c>
      <c r="P20">
        <f t="shared" si="1"/>
        <v>3.6</v>
      </c>
      <c r="Q20">
        <f>P20*Constants!$B$3</f>
        <v>15.119999999999997</v>
      </c>
      <c r="R20">
        <f t="shared" si="5"/>
        <v>8.9999999999999964</v>
      </c>
      <c r="S20">
        <f t="shared" si="2"/>
        <v>19.2</v>
      </c>
      <c r="T20">
        <f>S20*Constants!$B$2</f>
        <v>53.76</v>
      </c>
      <c r="V20">
        <f t="shared" si="3"/>
        <v>0</v>
      </c>
      <c r="W20">
        <f t="shared" si="4"/>
        <v>0</v>
      </c>
      <c r="AA20" s="8"/>
      <c r="AJ20" s="4"/>
    </row>
    <row r="21" spans="1:36" x14ac:dyDescent="0.25">
      <c r="A21">
        <v>20</v>
      </c>
      <c r="B21">
        <v>7</v>
      </c>
      <c r="C21" t="s">
        <v>57</v>
      </c>
      <c r="D21" s="16" t="s">
        <v>633</v>
      </c>
      <c r="E21" s="16" t="s">
        <v>632</v>
      </c>
      <c r="F21">
        <v>3.71</v>
      </c>
      <c r="G21" t="s">
        <v>44</v>
      </c>
      <c r="H21">
        <v>0</v>
      </c>
      <c r="I21">
        <v>8.5500000000000007</v>
      </c>
      <c r="L21">
        <f>Constants!$B$2</f>
        <v>2.8</v>
      </c>
      <c r="M21" t="str">
        <f t="shared" si="0"/>
        <v>N/A</v>
      </c>
      <c r="N21">
        <f>P21*Constants!$E$2</f>
        <v>0</v>
      </c>
      <c r="P21">
        <f t="shared" si="1"/>
        <v>0</v>
      </c>
      <c r="Q21">
        <f>P21*Constants!$B$3</f>
        <v>0</v>
      </c>
      <c r="R21">
        <f t="shared" si="5"/>
        <v>0</v>
      </c>
      <c r="S21">
        <f t="shared" si="2"/>
        <v>8.5500000000000007</v>
      </c>
      <c r="T21">
        <f>S21*Constants!$B$2</f>
        <v>23.94</v>
      </c>
      <c r="V21">
        <f t="shared" si="3"/>
        <v>0</v>
      </c>
      <c r="W21">
        <f t="shared" si="4"/>
        <v>0</v>
      </c>
      <c r="AA21" s="8"/>
      <c r="AJ21" s="4"/>
    </row>
    <row r="22" spans="1:36" x14ac:dyDescent="0.25">
      <c r="A22">
        <v>21</v>
      </c>
      <c r="B22">
        <v>7</v>
      </c>
      <c r="C22" t="s">
        <v>64</v>
      </c>
      <c r="D22" s="16" t="s">
        <v>634</v>
      </c>
      <c r="F22">
        <v>3.03</v>
      </c>
      <c r="G22" t="s">
        <v>44</v>
      </c>
      <c r="H22">
        <v>0</v>
      </c>
      <c r="I22">
        <f>2*1.2*(1+2.5)</f>
        <v>8.4</v>
      </c>
      <c r="L22">
        <f>Constants!$B$2</f>
        <v>2.8</v>
      </c>
      <c r="M22" t="str">
        <f t="shared" si="0"/>
        <v>N/A</v>
      </c>
      <c r="N22">
        <f>P22*Constants!$E$2</f>
        <v>0</v>
      </c>
      <c r="P22">
        <f t="shared" si="1"/>
        <v>0</v>
      </c>
      <c r="Q22">
        <f>P22*Constants!$B$3</f>
        <v>0</v>
      </c>
      <c r="R22">
        <f t="shared" si="5"/>
        <v>0</v>
      </c>
      <c r="S22">
        <f t="shared" si="2"/>
        <v>8.4</v>
      </c>
      <c r="T22">
        <f>S22*Constants!$B$2</f>
        <v>23.52</v>
      </c>
      <c r="V22">
        <f t="shared" si="3"/>
        <v>0</v>
      </c>
      <c r="W22">
        <f t="shared" si="4"/>
        <v>0</v>
      </c>
      <c r="AA22" s="8"/>
      <c r="AJ22" s="4"/>
    </row>
    <row r="23" spans="1:36" x14ac:dyDescent="0.25">
      <c r="A23">
        <v>22</v>
      </c>
      <c r="B23">
        <v>7</v>
      </c>
      <c r="C23" t="s">
        <v>64</v>
      </c>
      <c r="D23" s="16" t="s">
        <v>635</v>
      </c>
      <c r="E23" s="16"/>
      <c r="F23">
        <v>2.63</v>
      </c>
      <c r="G23" t="s">
        <v>44</v>
      </c>
      <c r="H23">
        <v>0</v>
      </c>
      <c r="I23">
        <f>2*1.2*(1+2)</f>
        <v>7.1999999999999993</v>
      </c>
      <c r="L23">
        <f>Constants!$B$2</f>
        <v>2.8</v>
      </c>
      <c r="M23" t="str">
        <f t="shared" si="0"/>
        <v>N/A</v>
      </c>
      <c r="N23">
        <f>P23*Constants!$E$2</f>
        <v>0</v>
      </c>
      <c r="P23">
        <f t="shared" si="1"/>
        <v>0</v>
      </c>
      <c r="Q23">
        <f>P23*Constants!$B$3</f>
        <v>0</v>
      </c>
      <c r="R23">
        <f t="shared" si="5"/>
        <v>0</v>
      </c>
      <c r="S23">
        <f t="shared" si="2"/>
        <v>7.1999999999999993</v>
      </c>
      <c r="T23">
        <f>S23*Constants!$B$2</f>
        <v>20.159999999999997</v>
      </c>
      <c r="V23">
        <f t="shared" si="3"/>
        <v>0</v>
      </c>
      <c r="W23">
        <f t="shared" si="4"/>
        <v>0</v>
      </c>
      <c r="AA23" s="8"/>
      <c r="AJ23" s="4"/>
    </row>
    <row r="24" spans="1:36" x14ac:dyDescent="0.25">
      <c r="A24">
        <v>23</v>
      </c>
      <c r="B24">
        <v>7</v>
      </c>
      <c r="C24" t="s">
        <v>62</v>
      </c>
      <c r="D24" s="16" t="s">
        <v>628</v>
      </c>
      <c r="F24">
        <v>20.76</v>
      </c>
      <c r="G24">
        <v>0</v>
      </c>
      <c r="H24">
        <v>4</v>
      </c>
      <c r="I24">
        <f>2*(4+5.3)</f>
        <v>18.600000000000001</v>
      </c>
      <c r="L24">
        <f>Constants!$B$2</f>
        <v>2.8</v>
      </c>
      <c r="M24">
        <f t="shared" si="0"/>
        <v>0</v>
      </c>
      <c r="N24">
        <f>P24*Constants!$E$2</f>
        <v>6.8</v>
      </c>
      <c r="P24">
        <f t="shared" si="1"/>
        <v>4</v>
      </c>
      <c r="Q24">
        <f>P24*Constants!$B$3</f>
        <v>16.799999999999997</v>
      </c>
      <c r="R24">
        <f t="shared" si="5"/>
        <v>9.9999999999999964</v>
      </c>
      <c r="S24">
        <f t="shared" si="2"/>
        <v>14.600000000000001</v>
      </c>
      <c r="T24">
        <f>S24*Constants!$B$2</f>
        <v>40.880000000000003</v>
      </c>
      <c r="V24">
        <f t="shared" si="3"/>
        <v>0</v>
      </c>
      <c r="W24">
        <f t="shared" si="4"/>
        <v>0</v>
      </c>
      <c r="AA24" s="8"/>
      <c r="AJ24" s="4"/>
    </row>
    <row r="25" spans="1:36" x14ac:dyDescent="0.25">
      <c r="A25">
        <v>24</v>
      </c>
      <c r="B25">
        <v>7</v>
      </c>
      <c r="C25" t="s">
        <v>64</v>
      </c>
      <c r="D25" s="16" t="s">
        <v>629</v>
      </c>
      <c r="F25">
        <v>3.72</v>
      </c>
      <c r="G25">
        <v>90</v>
      </c>
      <c r="H25">
        <v>1.4</v>
      </c>
      <c r="I25">
        <f>2*(3.5+1.4)</f>
        <v>9.8000000000000007</v>
      </c>
      <c r="L25">
        <f>Constants!$B$2</f>
        <v>2.8</v>
      </c>
      <c r="M25">
        <f t="shared" si="0"/>
        <v>90</v>
      </c>
      <c r="N25">
        <f>P25*Constants!$E$2</f>
        <v>2.38</v>
      </c>
      <c r="P25">
        <f t="shared" si="1"/>
        <v>1.4</v>
      </c>
      <c r="Q25">
        <f>P25*Constants!$B$3</f>
        <v>5.879999999999999</v>
      </c>
      <c r="R25">
        <f t="shared" si="5"/>
        <v>3.4999999999999991</v>
      </c>
      <c r="S25">
        <f t="shared" si="2"/>
        <v>8.4</v>
      </c>
      <c r="T25">
        <f>S25*Constants!$B$2</f>
        <v>23.52</v>
      </c>
      <c r="V25">
        <f t="shared" si="3"/>
        <v>0</v>
      </c>
      <c r="W25">
        <f t="shared" si="4"/>
        <v>0</v>
      </c>
      <c r="AA25" s="8"/>
      <c r="AJ25" s="4"/>
    </row>
    <row r="26" spans="1:36" x14ac:dyDescent="0.25">
      <c r="A26">
        <v>25</v>
      </c>
      <c r="B26">
        <v>7</v>
      </c>
      <c r="C26" t="s">
        <v>64</v>
      </c>
      <c r="D26" s="16" t="s">
        <v>630</v>
      </c>
      <c r="F26">
        <v>3.72</v>
      </c>
      <c r="G26">
        <v>90</v>
      </c>
      <c r="H26">
        <v>1.4</v>
      </c>
      <c r="I26">
        <f>2*(3.5+1.4)</f>
        <v>9.8000000000000007</v>
      </c>
      <c r="L26">
        <f>Constants!$B$2</f>
        <v>2.8</v>
      </c>
      <c r="M26">
        <f t="shared" si="0"/>
        <v>90</v>
      </c>
      <c r="N26">
        <f>P26*Constants!$E$2</f>
        <v>2.38</v>
      </c>
      <c r="P26">
        <f t="shared" si="1"/>
        <v>1.4</v>
      </c>
      <c r="Q26">
        <f>P26*Constants!$B$3</f>
        <v>5.879999999999999</v>
      </c>
      <c r="R26">
        <f t="shared" si="5"/>
        <v>3.4999999999999991</v>
      </c>
      <c r="S26">
        <f t="shared" si="2"/>
        <v>8.4</v>
      </c>
      <c r="T26">
        <f>S26*Constants!$B$2</f>
        <v>23.52</v>
      </c>
      <c r="V26">
        <f t="shared" si="3"/>
        <v>0</v>
      </c>
      <c r="W26">
        <f t="shared" si="4"/>
        <v>0</v>
      </c>
      <c r="AA26" s="8"/>
      <c r="AJ26" s="4"/>
    </row>
    <row r="27" spans="1:36" x14ac:dyDescent="0.25">
      <c r="A27">
        <v>26</v>
      </c>
      <c r="B27">
        <v>7</v>
      </c>
      <c r="C27" t="s">
        <v>62</v>
      </c>
      <c r="D27" s="16" t="s">
        <v>631</v>
      </c>
      <c r="F27">
        <f>58.07+78.82</f>
        <v>136.88999999999999</v>
      </c>
      <c r="G27" t="s">
        <v>44</v>
      </c>
      <c r="H27">
        <v>0</v>
      </c>
      <c r="I27">
        <v>100.25</v>
      </c>
      <c r="L27">
        <f>Constants!$B$2</f>
        <v>2.8</v>
      </c>
      <c r="M27" t="str">
        <f t="shared" si="0"/>
        <v>N/A</v>
      </c>
      <c r="N27">
        <f>P27*Constants!$E$2</f>
        <v>0</v>
      </c>
      <c r="P27">
        <f t="shared" si="1"/>
        <v>0</v>
      </c>
      <c r="Q27">
        <f>P27*Constants!$B$3</f>
        <v>0</v>
      </c>
      <c r="R27">
        <f t="shared" si="5"/>
        <v>0</v>
      </c>
      <c r="S27">
        <f t="shared" si="2"/>
        <v>100.25</v>
      </c>
      <c r="T27">
        <f>S27*Constants!$B$2</f>
        <v>280.7</v>
      </c>
      <c r="V27">
        <f t="shared" si="3"/>
        <v>0</v>
      </c>
      <c r="W27">
        <f t="shared" si="4"/>
        <v>0</v>
      </c>
      <c r="AA27" s="8"/>
      <c r="AJ27" s="4"/>
    </row>
    <row r="28" spans="1:36" x14ac:dyDescent="0.25">
      <c r="A28">
        <v>27</v>
      </c>
      <c r="B28">
        <v>7</v>
      </c>
      <c r="C28" t="s">
        <v>57</v>
      </c>
      <c r="D28" s="16" t="s">
        <v>636</v>
      </c>
      <c r="E28" s="16"/>
      <c r="F28">
        <v>7.81</v>
      </c>
      <c r="G28">
        <v>270</v>
      </c>
      <c r="H28">
        <v>2.4</v>
      </c>
      <c r="I28">
        <f>2*1.2*(2+3)</f>
        <v>12</v>
      </c>
      <c r="L28">
        <f>Constants!$B$2</f>
        <v>2.8</v>
      </c>
      <c r="M28">
        <f t="shared" si="0"/>
        <v>270</v>
      </c>
      <c r="N28">
        <f>P28*Constants!$E$2</f>
        <v>4.08</v>
      </c>
      <c r="P28">
        <f t="shared" si="1"/>
        <v>2.4</v>
      </c>
      <c r="Q28">
        <f>P28*Constants!$B$3</f>
        <v>10.079999999999998</v>
      </c>
      <c r="R28">
        <f t="shared" si="5"/>
        <v>5.9999999999999982</v>
      </c>
      <c r="S28">
        <f t="shared" si="2"/>
        <v>9.6</v>
      </c>
      <c r="T28">
        <f>S28*Constants!$B$2</f>
        <v>26.88</v>
      </c>
      <c r="V28">
        <f t="shared" si="3"/>
        <v>0</v>
      </c>
      <c r="W28">
        <f t="shared" si="4"/>
        <v>0</v>
      </c>
      <c r="AA28" s="8"/>
      <c r="AJ28" s="4"/>
    </row>
    <row r="29" spans="1:36" x14ac:dyDescent="0.25">
      <c r="A29">
        <v>28</v>
      </c>
      <c r="B29">
        <v>7</v>
      </c>
      <c r="C29" t="s">
        <v>59</v>
      </c>
      <c r="D29" s="16" t="s">
        <v>637</v>
      </c>
      <c r="E29" s="16"/>
      <c r="F29">
        <v>38.659999999999997</v>
      </c>
      <c r="G29">
        <v>270</v>
      </c>
      <c r="H29">
        <f>7.2</f>
        <v>7.2</v>
      </c>
      <c r="I29">
        <f>2*1.2*(6+5)</f>
        <v>26.4</v>
      </c>
      <c r="L29">
        <f>Constants!$B$2</f>
        <v>2.8</v>
      </c>
      <c r="M29">
        <f t="shared" si="0"/>
        <v>270</v>
      </c>
      <c r="N29">
        <f>P29*Constants!$E$2</f>
        <v>12.24</v>
      </c>
      <c r="P29">
        <f t="shared" si="1"/>
        <v>7.2</v>
      </c>
      <c r="Q29">
        <f>P29*Constants!$B$3</f>
        <v>30.239999999999995</v>
      </c>
      <c r="R29">
        <f t="shared" si="5"/>
        <v>17.999999999999993</v>
      </c>
      <c r="S29">
        <f t="shared" si="2"/>
        <v>19.2</v>
      </c>
      <c r="T29">
        <f>S29*Constants!$B$2</f>
        <v>53.76</v>
      </c>
      <c r="V29">
        <f t="shared" si="3"/>
        <v>0</v>
      </c>
      <c r="W29">
        <f t="shared" si="4"/>
        <v>0</v>
      </c>
      <c r="AA29" s="8"/>
      <c r="AJ29" s="4"/>
    </row>
    <row r="30" spans="1:36" x14ac:dyDescent="0.25">
      <c r="A30">
        <v>29</v>
      </c>
      <c r="B30">
        <v>7</v>
      </c>
      <c r="C30" t="s">
        <v>57</v>
      </c>
      <c r="D30" s="16" t="s">
        <v>650</v>
      </c>
      <c r="E30" s="16" t="s">
        <v>637</v>
      </c>
      <c r="F30">
        <v>3.71</v>
      </c>
      <c r="G30" t="s">
        <v>44</v>
      </c>
      <c r="H30">
        <v>0</v>
      </c>
      <c r="I30">
        <v>8.5500000000000007</v>
      </c>
      <c r="L30">
        <f>Constants!$B$2</f>
        <v>2.8</v>
      </c>
      <c r="M30" t="str">
        <f t="shared" ref="M30" si="22">IF(N30&gt;0,G30,"N/A")</f>
        <v>N/A</v>
      </c>
      <c r="N30">
        <f>P30*Constants!$E$2</f>
        <v>0</v>
      </c>
      <c r="P30">
        <f t="shared" ref="P30" si="23">H30</f>
        <v>0</v>
      </c>
      <c r="Q30">
        <f>P30*Constants!$B$3</f>
        <v>0</v>
      </c>
      <c r="R30">
        <f t="shared" ref="R30" si="24">IF(Q30-N30&lt;=0, 0, Q30-N30)</f>
        <v>0</v>
      </c>
      <c r="S30">
        <f t="shared" ref="S30" si="25">I30-P30</f>
        <v>8.5500000000000007</v>
      </c>
      <c r="T30">
        <f>S30*Constants!$B$2</f>
        <v>23.94</v>
      </c>
      <c r="V30">
        <f t="shared" ref="V30" si="26">IF(B30="E",1,0)</f>
        <v>0</v>
      </c>
      <c r="W30">
        <f t="shared" ref="W30" si="27">IF(B30=10,1,0)</f>
        <v>0</v>
      </c>
      <c r="AA30" s="8"/>
      <c r="AJ30" s="4"/>
    </row>
    <row r="31" spans="1:36" x14ac:dyDescent="0.25">
      <c r="A31">
        <v>30</v>
      </c>
      <c r="B31">
        <v>7</v>
      </c>
      <c r="C31" t="s">
        <v>49</v>
      </c>
      <c r="D31" s="16" t="s">
        <v>638</v>
      </c>
      <c r="E31" s="16"/>
      <c r="F31">
        <v>24.68</v>
      </c>
      <c r="G31">
        <v>90</v>
      </c>
      <c r="H31">
        <v>3.6</v>
      </c>
      <c r="I31">
        <f>2*(7.8+3.6)</f>
        <v>22.8</v>
      </c>
      <c r="L31">
        <f>Constants!$B$2</f>
        <v>2.8</v>
      </c>
      <c r="M31">
        <f t="shared" si="0"/>
        <v>90</v>
      </c>
      <c r="N31">
        <f>P31*Constants!$E$2</f>
        <v>6.12</v>
      </c>
      <c r="P31">
        <f t="shared" si="1"/>
        <v>3.6</v>
      </c>
      <c r="Q31">
        <f>P31*Constants!$B$3</f>
        <v>15.119999999999997</v>
      </c>
      <c r="R31">
        <f t="shared" si="5"/>
        <v>8.9999999999999964</v>
      </c>
      <c r="S31">
        <f t="shared" si="2"/>
        <v>19.2</v>
      </c>
      <c r="T31">
        <f>S31*Constants!$B$2</f>
        <v>53.76</v>
      </c>
      <c r="V31">
        <f t="shared" si="3"/>
        <v>0</v>
      </c>
      <c r="W31">
        <f t="shared" si="4"/>
        <v>0</v>
      </c>
      <c r="AA31" s="8"/>
      <c r="AJ31" s="4"/>
    </row>
    <row r="32" spans="1:36" x14ac:dyDescent="0.25">
      <c r="A32">
        <v>31</v>
      </c>
      <c r="B32">
        <v>7</v>
      </c>
      <c r="C32" t="s">
        <v>57</v>
      </c>
      <c r="D32" s="16" t="s">
        <v>651</v>
      </c>
      <c r="E32" s="16" t="s">
        <v>638</v>
      </c>
      <c r="F32">
        <v>3.71</v>
      </c>
      <c r="G32" t="s">
        <v>44</v>
      </c>
      <c r="H32">
        <v>0</v>
      </c>
      <c r="I32">
        <v>8.5500000000000007</v>
      </c>
      <c r="L32">
        <f>Constants!$B$2</f>
        <v>2.8</v>
      </c>
      <c r="M32" t="str">
        <f t="shared" si="0"/>
        <v>N/A</v>
      </c>
      <c r="N32">
        <f>P32*Constants!$E$2</f>
        <v>0</v>
      </c>
      <c r="P32">
        <f t="shared" si="1"/>
        <v>0</v>
      </c>
      <c r="Q32">
        <f>P32*Constants!$B$3</f>
        <v>0</v>
      </c>
      <c r="R32">
        <f t="shared" si="5"/>
        <v>0</v>
      </c>
      <c r="S32">
        <f t="shared" si="2"/>
        <v>8.5500000000000007</v>
      </c>
      <c r="T32">
        <f>S32*Constants!$B$2</f>
        <v>23.94</v>
      </c>
      <c r="V32">
        <f t="shared" si="3"/>
        <v>0</v>
      </c>
      <c r="W32">
        <f t="shared" si="4"/>
        <v>0</v>
      </c>
      <c r="AA32" s="8"/>
      <c r="AJ32" s="4"/>
    </row>
    <row r="33" spans="1:36" x14ac:dyDescent="0.25">
      <c r="A33">
        <v>32</v>
      </c>
      <c r="B33">
        <v>7</v>
      </c>
      <c r="C33" t="s">
        <v>49</v>
      </c>
      <c r="D33" s="16" t="s">
        <v>639</v>
      </c>
      <c r="E33" s="16"/>
      <c r="F33">
        <v>24.68</v>
      </c>
      <c r="G33">
        <v>90</v>
      </c>
      <c r="H33">
        <v>3.6</v>
      </c>
      <c r="I33">
        <f>2*(7.8+3.6)</f>
        <v>22.8</v>
      </c>
      <c r="L33">
        <f>Constants!$B$2</f>
        <v>2.8</v>
      </c>
      <c r="M33">
        <f t="shared" si="0"/>
        <v>90</v>
      </c>
      <c r="N33">
        <f>P33*Constants!$E$2</f>
        <v>6.12</v>
      </c>
      <c r="P33">
        <f t="shared" si="1"/>
        <v>3.6</v>
      </c>
      <c r="Q33">
        <f>P33*Constants!$B$3</f>
        <v>15.119999999999997</v>
      </c>
      <c r="R33">
        <f t="shared" si="5"/>
        <v>8.9999999999999964</v>
      </c>
      <c r="S33">
        <f t="shared" si="2"/>
        <v>19.2</v>
      </c>
      <c r="T33">
        <f>S33*Constants!$B$2</f>
        <v>53.76</v>
      </c>
      <c r="V33">
        <f t="shared" si="3"/>
        <v>0</v>
      </c>
      <c r="W33">
        <f t="shared" si="4"/>
        <v>0</v>
      </c>
      <c r="AA33" s="8"/>
      <c r="AJ33" s="4"/>
    </row>
    <row r="34" spans="1:36" x14ac:dyDescent="0.25">
      <c r="A34">
        <v>33</v>
      </c>
      <c r="B34">
        <v>7</v>
      </c>
      <c r="C34" t="s">
        <v>57</v>
      </c>
      <c r="D34" s="16" t="s">
        <v>640</v>
      </c>
      <c r="E34" s="16" t="s">
        <v>639</v>
      </c>
      <c r="F34">
        <v>3.71</v>
      </c>
      <c r="G34" t="s">
        <v>44</v>
      </c>
      <c r="H34">
        <v>0</v>
      </c>
      <c r="I34">
        <v>8.5500000000000007</v>
      </c>
      <c r="L34">
        <f>Constants!$B$2</f>
        <v>2.8</v>
      </c>
      <c r="M34" t="str">
        <f t="shared" si="0"/>
        <v>N/A</v>
      </c>
      <c r="N34">
        <f>P34*Constants!$E$2</f>
        <v>0</v>
      </c>
      <c r="P34">
        <f t="shared" si="1"/>
        <v>0</v>
      </c>
      <c r="Q34">
        <f>P34*Constants!$B$3</f>
        <v>0</v>
      </c>
      <c r="R34">
        <f t="shared" si="5"/>
        <v>0</v>
      </c>
      <c r="S34">
        <f t="shared" si="2"/>
        <v>8.5500000000000007</v>
      </c>
      <c r="T34">
        <f>S34*Constants!$B$2</f>
        <v>23.94</v>
      </c>
      <c r="V34">
        <f t="shared" si="3"/>
        <v>0</v>
      </c>
      <c r="W34">
        <f t="shared" si="4"/>
        <v>0</v>
      </c>
      <c r="AA34" s="8"/>
      <c r="AJ34" s="4"/>
    </row>
    <row r="35" spans="1:36" x14ac:dyDescent="0.25">
      <c r="A35">
        <v>34</v>
      </c>
      <c r="B35">
        <v>7</v>
      </c>
      <c r="C35" t="s">
        <v>49</v>
      </c>
      <c r="D35" s="16" t="s">
        <v>641</v>
      </c>
      <c r="E35" s="16"/>
      <c r="F35">
        <v>42.58</v>
      </c>
      <c r="G35">
        <v>90</v>
      </c>
      <c r="H35">
        <v>7.2</v>
      </c>
      <c r="I35">
        <f>2*1.2*(6.5+5)</f>
        <v>27.599999999999998</v>
      </c>
      <c r="L35">
        <f>Constants!$B$2</f>
        <v>2.8</v>
      </c>
      <c r="M35">
        <f t="shared" si="0"/>
        <v>90</v>
      </c>
      <c r="N35">
        <f>P35*Constants!$E$2</f>
        <v>12.24</v>
      </c>
      <c r="P35">
        <f t="shared" si="1"/>
        <v>7.2</v>
      </c>
      <c r="Q35">
        <f>P35*Constants!$B$3</f>
        <v>30.239999999999995</v>
      </c>
      <c r="R35">
        <f t="shared" si="5"/>
        <v>17.999999999999993</v>
      </c>
      <c r="S35">
        <f t="shared" si="2"/>
        <v>20.399999999999999</v>
      </c>
      <c r="T35">
        <f>S35*Constants!$B$2</f>
        <v>57.11999999999999</v>
      </c>
      <c r="V35">
        <f t="shared" si="3"/>
        <v>0</v>
      </c>
      <c r="W35">
        <f t="shared" si="4"/>
        <v>0</v>
      </c>
      <c r="AA35" s="8"/>
      <c r="AJ35" s="4"/>
    </row>
    <row r="36" spans="1:36" x14ac:dyDescent="0.25">
      <c r="A36">
        <v>35</v>
      </c>
      <c r="B36">
        <v>7</v>
      </c>
      <c r="C36" t="s">
        <v>57</v>
      </c>
      <c r="D36" s="16" t="s">
        <v>642</v>
      </c>
      <c r="E36" s="16" t="s">
        <v>641</v>
      </c>
      <c r="F36">
        <v>3.71</v>
      </c>
      <c r="G36" t="s">
        <v>44</v>
      </c>
      <c r="H36">
        <v>0</v>
      </c>
      <c r="I36">
        <v>8.5500000000000007</v>
      </c>
      <c r="L36">
        <f>Constants!$B$2</f>
        <v>2.8</v>
      </c>
      <c r="M36" t="str">
        <f t="shared" si="0"/>
        <v>N/A</v>
      </c>
      <c r="N36">
        <f>P36*Constants!$E$2</f>
        <v>0</v>
      </c>
      <c r="P36">
        <f t="shared" si="1"/>
        <v>0</v>
      </c>
      <c r="Q36">
        <f>P36*Constants!$B$3</f>
        <v>0</v>
      </c>
      <c r="R36">
        <f t="shared" si="5"/>
        <v>0</v>
      </c>
      <c r="S36">
        <f t="shared" si="2"/>
        <v>8.5500000000000007</v>
      </c>
      <c r="T36">
        <f>S36*Constants!$B$2</f>
        <v>23.94</v>
      </c>
      <c r="V36">
        <f t="shared" si="3"/>
        <v>0</v>
      </c>
      <c r="W36">
        <f t="shared" si="4"/>
        <v>0</v>
      </c>
      <c r="AA36" s="8"/>
      <c r="AJ36" s="4"/>
    </row>
    <row r="37" spans="1:36" x14ac:dyDescent="0.25">
      <c r="A37">
        <v>36</v>
      </c>
      <c r="B37">
        <v>7</v>
      </c>
      <c r="C37" t="s">
        <v>49</v>
      </c>
      <c r="D37" s="16" t="s">
        <v>643</v>
      </c>
      <c r="E37" s="16"/>
      <c r="F37">
        <v>24.25</v>
      </c>
      <c r="G37">
        <v>90</v>
      </c>
      <c r="H37">
        <v>3</v>
      </c>
      <c r="I37">
        <f>2*(7.8+3.6)</f>
        <v>22.8</v>
      </c>
      <c r="L37">
        <f>Constants!$B$2</f>
        <v>2.8</v>
      </c>
      <c r="M37">
        <f t="shared" si="0"/>
        <v>90</v>
      </c>
      <c r="N37">
        <f>P37*Constants!$E$2</f>
        <v>5.0999999999999996</v>
      </c>
      <c r="P37">
        <f t="shared" si="1"/>
        <v>3</v>
      </c>
      <c r="Q37">
        <f>P37*Constants!$B$3</f>
        <v>12.599999999999998</v>
      </c>
      <c r="R37">
        <f t="shared" si="5"/>
        <v>7.4999999999999982</v>
      </c>
      <c r="S37">
        <f t="shared" si="2"/>
        <v>19.8</v>
      </c>
      <c r="T37">
        <f>S37*Constants!$B$2</f>
        <v>55.44</v>
      </c>
      <c r="V37">
        <f t="shared" si="3"/>
        <v>0</v>
      </c>
      <c r="W37">
        <f t="shared" si="4"/>
        <v>0</v>
      </c>
      <c r="AA37" s="8"/>
      <c r="AJ37" s="4"/>
    </row>
    <row r="38" spans="1:36" x14ac:dyDescent="0.25">
      <c r="A38">
        <v>37</v>
      </c>
      <c r="B38">
        <v>7</v>
      </c>
      <c r="C38" t="s">
        <v>57</v>
      </c>
      <c r="D38" s="16" t="s">
        <v>644</v>
      </c>
      <c r="E38" s="16" t="s">
        <v>643</v>
      </c>
      <c r="F38">
        <v>3.71</v>
      </c>
      <c r="G38" t="s">
        <v>44</v>
      </c>
      <c r="H38">
        <v>0</v>
      </c>
      <c r="I38">
        <v>8.5500000000000007</v>
      </c>
      <c r="L38">
        <f>Constants!$B$2</f>
        <v>2.8</v>
      </c>
      <c r="M38" t="str">
        <f t="shared" si="0"/>
        <v>N/A</v>
      </c>
      <c r="N38">
        <f>P38*Constants!$E$2</f>
        <v>0</v>
      </c>
      <c r="P38">
        <f t="shared" si="1"/>
        <v>0</v>
      </c>
      <c r="Q38">
        <f>P38*Constants!$B$3</f>
        <v>0</v>
      </c>
      <c r="R38">
        <f t="shared" si="5"/>
        <v>0</v>
      </c>
      <c r="S38">
        <f t="shared" si="2"/>
        <v>8.5500000000000007</v>
      </c>
      <c r="T38">
        <f>S38*Constants!$B$2</f>
        <v>23.94</v>
      </c>
      <c r="V38">
        <f t="shared" si="3"/>
        <v>0</v>
      </c>
      <c r="W38">
        <f t="shared" si="4"/>
        <v>0</v>
      </c>
      <c r="AA38" s="8"/>
      <c r="AJ38" s="4"/>
    </row>
    <row r="39" spans="1:36" x14ac:dyDescent="0.25">
      <c r="A39">
        <v>38</v>
      </c>
      <c r="B39">
        <v>7</v>
      </c>
      <c r="C39" t="s">
        <v>49</v>
      </c>
      <c r="D39" s="16" t="s">
        <v>645</v>
      </c>
      <c r="F39">
        <v>24.42</v>
      </c>
      <c r="G39">
        <v>90</v>
      </c>
      <c r="H39">
        <v>3.6</v>
      </c>
      <c r="I39">
        <f>2*(7.8+3.6)</f>
        <v>22.8</v>
      </c>
      <c r="L39">
        <f>Constants!$B$2</f>
        <v>2.8</v>
      </c>
      <c r="M39">
        <f t="shared" si="0"/>
        <v>90</v>
      </c>
      <c r="N39">
        <f>P39*Constants!$E$2</f>
        <v>6.12</v>
      </c>
      <c r="P39">
        <f t="shared" si="1"/>
        <v>3.6</v>
      </c>
      <c r="Q39">
        <f>P39*Constants!$B$3</f>
        <v>15.119999999999997</v>
      </c>
      <c r="R39">
        <f t="shared" si="5"/>
        <v>8.9999999999999964</v>
      </c>
      <c r="S39">
        <f t="shared" si="2"/>
        <v>19.2</v>
      </c>
      <c r="T39">
        <f>S39*Constants!$B$2</f>
        <v>53.76</v>
      </c>
      <c r="V39">
        <f t="shared" si="3"/>
        <v>0</v>
      </c>
      <c r="W39">
        <f t="shared" si="4"/>
        <v>0</v>
      </c>
      <c r="AA39" s="8"/>
      <c r="AJ39" s="4"/>
    </row>
    <row r="40" spans="1:36" x14ac:dyDescent="0.25">
      <c r="A40">
        <v>39</v>
      </c>
      <c r="B40">
        <v>7</v>
      </c>
      <c r="C40" t="s">
        <v>57</v>
      </c>
      <c r="D40" s="16" t="s">
        <v>646</v>
      </c>
      <c r="E40" s="16" t="s">
        <v>645</v>
      </c>
      <c r="F40">
        <v>3.71</v>
      </c>
      <c r="G40" t="s">
        <v>44</v>
      </c>
      <c r="H40">
        <v>0</v>
      </c>
      <c r="I40">
        <v>8.5500000000000007</v>
      </c>
      <c r="L40">
        <f>Constants!$B$2</f>
        <v>2.8</v>
      </c>
      <c r="M40" t="str">
        <f t="shared" si="0"/>
        <v>N/A</v>
      </c>
      <c r="N40">
        <f>P40*Constants!$E$2</f>
        <v>0</v>
      </c>
      <c r="P40">
        <f t="shared" si="1"/>
        <v>0</v>
      </c>
      <c r="Q40">
        <f>P40*Constants!$B$3</f>
        <v>0</v>
      </c>
      <c r="R40">
        <f t="shared" si="5"/>
        <v>0</v>
      </c>
      <c r="S40">
        <f t="shared" si="2"/>
        <v>8.5500000000000007</v>
      </c>
      <c r="T40">
        <f>S40*Constants!$B$2</f>
        <v>23.94</v>
      </c>
      <c r="V40">
        <f t="shared" si="3"/>
        <v>0</v>
      </c>
      <c r="W40">
        <f t="shared" si="4"/>
        <v>0</v>
      </c>
      <c r="AA40" s="8"/>
      <c r="AJ40" s="4"/>
    </row>
    <row r="41" spans="1:36" x14ac:dyDescent="0.25">
      <c r="A41">
        <v>44</v>
      </c>
      <c r="B41">
        <v>7</v>
      </c>
      <c r="C41" t="s">
        <v>66</v>
      </c>
      <c r="D41" s="16" t="s">
        <v>647</v>
      </c>
      <c r="F41">
        <v>19.829999999999998</v>
      </c>
      <c r="G41" t="s">
        <v>44</v>
      </c>
      <c r="H41">
        <v>0</v>
      </c>
      <c r="I41">
        <f>2*1.2*(4+6)</f>
        <v>24</v>
      </c>
      <c r="L41">
        <f>Constants!$B$2</f>
        <v>2.8</v>
      </c>
      <c r="M41" t="str">
        <f t="shared" si="0"/>
        <v>N/A</v>
      </c>
      <c r="N41">
        <f>P41*Constants!$E$2</f>
        <v>0</v>
      </c>
      <c r="P41">
        <f t="shared" si="1"/>
        <v>0</v>
      </c>
      <c r="Q41">
        <f>P41*Constants!$B$3</f>
        <v>0</v>
      </c>
      <c r="R41">
        <f t="shared" si="5"/>
        <v>0</v>
      </c>
      <c r="S41">
        <f t="shared" si="2"/>
        <v>24</v>
      </c>
      <c r="T41">
        <f>S41*Constants!$B$2</f>
        <v>67.199999999999989</v>
      </c>
      <c r="V41">
        <f t="shared" si="3"/>
        <v>0</v>
      </c>
      <c r="W41">
        <f t="shared" si="4"/>
        <v>0</v>
      </c>
      <c r="AA41" s="8"/>
      <c r="AJ41" s="4"/>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4"/>
    </row>
    <row r="444" spans="4:4" x14ac:dyDescent="0.25">
      <c r="D444" s="14"/>
    </row>
    <row r="445" spans="4:4" x14ac:dyDescent="0.25">
      <c r="D445" s="13"/>
    </row>
    <row r="446" spans="4:4" x14ac:dyDescent="0.25">
      <c r="D446" s="13"/>
    </row>
    <row r="447" spans="4:4" x14ac:dyDescent="0.25">
      <c r="D447" s="13"/>
    </row>
    <row r="448" spans="4:4" x14ac:dyDescent="0.25">
      <c r="D448" s="13"/>
    </row>
    <row r="449" spans="4:4" x14ac:dyDescent="0.25">
      <c r="D449" s="13"/>
    </row>
    <row r="450" spans="4:4" x14ac:dyDescent="0.25">
      <c r="D450" s="13"/>
    </row>
    <row r="451" spans="4:4" x14ac:dyDescent="0.25">
      <c r="D451" s="13"/>
    </row>
    <row r="452" spans="4:4" x14ac:dyDescent="0.25">
      <c r="D452" s="13"/>
    </row>
  </sheetData>
  <phoneticPr fontId="5" type="noConversion"/>
  <pageMargins left="0.7" right="0.7" top="0.78740157499999996" bottom="0.78740157499999996"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36"/>
  <sheetViews>
    <sheetView zoomScaleNormal="100" workbookViewId="0">
      <pane xSplit="4" ySplit="1" topLeftCell="I2" activePane="bottomRight" state="frozen"/>
      <selection pane="topRight" activeCell="F1" sqref="F1"/>
      <selection pane="bottomLeft" activeCell="A2" sqref="A2"/>
      <selection pane="bottomRight" activeCell="C20" sqref="C20"/>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45</v>
      </c>
      <c r="D2" s="16" t="s">
        <v>652</v>
      </c>
      <c r="F2">
        <v>12.67</v>
      </c>
      <c r="G2" t="s">
        <v>44</v>
      </c>
      <c r="H2">
        <v>0</v>
      </c>
      <c r="I2">
        <f>2*1.2*(4+2.5)</f>
        <v>15.6</v>
      </c>
      <c r="L2">
        <f>Constants!$B$2</f>
        <v>2.8</v>
      </c>
      <c r="M2" t="str">
        <f t="shared" ref="M2:M26" si="0">IF(N2&gt;0,G2,"N/A")</f>
        <v>N/A</v>
      </c>
      <c r="N2">
        <f>P2*Constants!$E$2</f>
        <v>0</v>
      </c>
      <c r="P2">
        <f>H2</f>
        <v>0</v>
      </c>
      <c r="Q2">
        <f>P2*Constants!$B$3</f>
        <v>0</v>
      </c>
      <c r="R2">
        <f>IF(Q2-N2&lt;=0, 0, Q2-N2)</f>
        <v>0</v>
      </c>
      <c r="S2">
        <f>I2-P2</f>
        <v>15.6</v>
      </c>
      <c r="T2">
        <f>S2*Constants!$B$2</f>
        <v>43.68</v>
      </c>
      <c r="V2">
        <f>IF(B2="E",1,0)</f>
        <v>0</v>
      </c>
      <c r="W2">
        <f>IF(B2=10,1,0)</f>
        <v>0</v>
      </c>
      <c r="AA2" s="8"/>
      <c r="AJ2" s="4"/>
    </row>
    <row r="3" spans="1:40" x14ac:dyDescent="0.25">
      <c r="A3">
        <v>2</v>
      </c>
      <c r="B3">
        <v>7</v>
      </c>
      <c r="C3" t="s">
        <v>45</v>
      </c>
      <c r="D3" s="16" t="s">
        <v>653</v>
      </c>
      <c r="F3">
        <v>40.46</v>
      </c>
      <c r="G3">
        <v>270</v>
      </c>
      <c r="H3">
        <v>6</v>
      </c>
      <c r="I3">
        <f>2*1.2*(5+6.5)</f>
        <v>27.599999999999998</v>
      </c>
      <c r="L3">
        <f>Constants!$B$2</f>
        <v>2.8</v>
      </c>
      <c r="M3">
        <f t="shared" si="0"/>
        <v>270</v>
      </c>
      <c r="N3">
        <f>P3*Constants!$E$2</f>
        <v>10.199999999999999</v>
      </c>
      <c r="P3">
        <f t="shared" ref="P3:P26" si="1">H3</f>
        <v>6</v>
      </c>
      <c r="Q3">
        <f>P3*Constants!$B$3</f>
        <v>25.199999999999996</v>
      </c>
      <c r="R3">
        <f>IF(Q3-N3&lt;=0, 0, Q3-N3)</f>
        <v>14.999999999999996</v>
      </c>
      <c r="S3">
        <f t="shared" ref="S3:S26" si="2">I3-P3</f>
        <v>21.599999999999998</v>
      </c>
      <c r="T3">
        <f>S3*Constants!$B$2</f>
        <v>60.47999999999999</v>
      </c>
      <c r="V3">
        <f t="shared" ref="V3:V26" si="3">IF(B3="E",1,0)</f>
        <v>0</v>
      </c>
      <c r="W3">
        <f t="shared" ref="W3:W26" si="4">IF(B3=10,1,0)</f>
        <v>0</v>
      </c>
      <c r="AA3" s="8"/>
      <c r="AJ3" s="4"/>
    </row>
    <row r="4" spans="1:40" x14ac:dyDescent="0.25">
      <c r="A4">
        <v>3</v>
      </c>
      <c r="B4">
        <v>7</v>
      </c>
      <c r="C4" t="s">
        <v>372</v>
      </c>
      <c r="D4" s="16" t="s">
        <v>654</v>
      </c>
      <c r="F4">
        <v>5.0599999999999996</v>
      </c>
      <c r="G4" t="s">
        <v>44</v>
      </c>
      <c r="H4">
        <v>0</v>
      </c>
      <c r="I4">
        <f>4*2.4</f>
        <v>9.6</v>
      </c>
      <c r="L4">
        <f>Constants!$B$2</f>
        <v>2.8</v>
      </c>
      <c r="M4" t="str">
        <f t="shared" si="0"/>
        <v>N/A</v>
      </c>
      <c r="N4">
        <f>P4*Constants!$E$2</f>
        <v>0</v>
      </c>
      <c r="P4">
        <f t="shared" si="1"/>
        <v>0</v>
      </c>
      <c r="Q4">
        <f>P4*Constants!$B$3</f>
        <v>0</v>
      </c>
      <c r="R4">
        <f t="shared" ref="R4:R26" si="5">IF(Q4-N4&lt;=0, 0, Q4-N4)</f>
        <v>0</v>
      </c>
      <c r="S4">
        <f t="shared" si="2"/>
        <v>9.6</v>
      </c>
      <c r="T4">
        <f>S4*Constants!$B$2</f>
        <v>26.88</v>
      </c>
      <c r="V4">
        <f t="shared" si="3"/>
        <v>0</v>
      </c>
      <c r="W4">
        <f t="shared" si="4"/>
        <v>0</v>
      </c>
      <c r="AA4" s="8"/>
      <c r="AJ4" s="4"/>
    </row>
    <row r="5" spans="1:40" x14ac:dyDescent="0.25">
      <c r="A5">
        <v>4</v>
      </c>
      <c r="B5">
        <v>7</v>
      </c>
      <c r="C5" t="s">
        <v>59</v>
      </c>
      <c r="D5" s="16" t="s">
        <v>655</v>
      </c>
      <c r="F5">
        <v>32.36</v>
      </c>
      <c r="G5">
        <v>270</v>
      </c>
      <c r="H5">
        <v>4.8</v>
      </c>
      <c r="I5">
        <f>2*1.2*(4+6.5)</f>
        <v>25.2</v>
      </c>
      <c r="L5">
        <f>Constants!$B$2</f>
        <v>2.8</v>
      </c>
      <c r="M5">
        <f t="shared" si="0"/>
        <v>270</v>
      </c>
      <c r="N5">
        <f>P5*Constants!$E$2</f>
        <v>8.16</v>
      </c>
      <c r="P5">
        <f t="shared" ref="P5" si="6">H5</f>
        <v>4.8</v>
      </c>
      <c r="Q5">
        <f>P5*Constants!$B$3</f>
        <v>20.159999999999997</v>
      </c>
      <c r="R5">
        <f t="shared" si="5"/>
        <v>11.999999999999996</v>
      </c>
      <c r="S5">
        <f t="shared" ref="S5" si="7">I5-P5</f>
        <v>20.399999999999999</v>
      </c>
      <c r="T5">
        <f>S5*Constants!$B$2</f>
        <v>57.11999999999999</v>
      </c>
      <c r="V5">
        <f t="shared" ref="V5" si="8">IF(B5="E",1,0)</f>
        <v>0</v>
      </c>
      <c r="W5">
        <f t="shared" ref="W5" si="9">IF(B5=10,1,0)</f>
        <v>0</v>
      </c>
      <c r="AA5" s="8"/>
      <c r="AJ5" s="4"/>
    </row>
    <row r="6" spans="1:40" x14ac:dyDescent="0.25">
      <c r="A6">
        <v>5</v>
      </c>
      <c r="B6">
        <v>7</v>
      </c>
      <c r="C6" t="s">
        <v>54</v>
      </c>
      <c r="D6" s="16" t="s">
        <v>656</v>
      </c>
      <c r="F6">
        <v>19.920000000000002</v>
      </c>
      <c r="G6">
        <v>270</v>
      </c>
      <c r="H6">
        <v>3</v>
      </c>
      <c r="I6">
        <f>2*1.2*(6.5+2.5)</f>
        <v>21.599999999999998</v>
      </c>
      <c r="L6">
        <f>Constants!$B$2</f>
        <v>2.8</v>
      </c>
      <c r="M6">
        <f t="shared" si="0"/>
        <v>270</v>
      </c>
      <c r="N6">
        <f>P6*Constants!$E$2</f>
        <v>5.0999999999999996</v>
      </c>
      <c r="P6">
        <f t="shared" si="1"/>
        <v>3</v>
      </c>
      <c r="Q6">
        <f>P6*Constants!$B$3</f>
        <v>12.599999999999998</v>
      </c>
      <c r="R6">
        <f t="shared" si="5"/>
        <v>7.4999999999999982</v>
      </c>
      <c r="S6">
        <f t="shared" si="2"/>
        <v>18.599999999999998</v>
      </c>
      <c r="T6">
        <f>S6*Constants!$B$2</f>
        <v>52.079999999999991</v>
      </c>
      <c r="V6">
        <f t="shared" si="3"/>
        <v>0</v>
      </c>
      <c r="W6">
        <f t="shared" si="4"/>
        <v>0</v>
      </c>
      <c r="AA6" s="8"/>
      <c r="AJ6" s="4"/>
    </row>
    <row r="7" spans="1:40" x14ac:dyDescent="0.25">
      <c r="A7">
        <v>6</v>
      </c>
      <c r="B7">
        <v>7</v>
      </c>
      <c r="C7" t="s">
        <v>49</v>
      </c>
      <c r="D7" s="16" t="s">
        <v>657</v>
      </c>
      <c r="F7">
        <v>14.88</v>
      </c>
      <c r="G7">
        <v>270</v>
      </c>
      <c r="H7">
        <v>3</v>
      </c>
      <c r="I7">
        <f>2*1.2*(2.5+4.5)</f>
        <v>16.8</v>
      </c>
      <c r="L7">
        <f>Constants!$B$2</f>
        <v>2.8</v>
      </c>
      <c r="M7">
        <f t="shared" ref="M7" si="10">IF(N7&gt;0,G7,"N/A")</f>
        <v>270</v>
      </c>
      <c r="N7">
        <f>P7*Constants!$E$2</f>
        <v>5.0999999999999996</v>
      </c>
      <c r="P7">
        <f t="shared" ref="P7" si="11">H7</f>
        <v>3</v>
      </c>
      <c r="Q7">
        <f>P7*Constants!$B$3</f>
        <v>12.599999999999998</v>
      </c>
      <c r="R7">
        <f t="shared" ref="R7" si="12">IF(Q7-N7&lt;=0, 0, Q7-N7)</f>
        <v>7.4999999999999982</v>
      </c>
      <c r="S7">
        <f t="shared" ref="S7" si="13">I7-P7</f>
        <v>13.8</v>
      </c>
      <c r="T7">
        <f>S7*Constants!$B$2</f>
        <v>38.64</v>
      </c>
      <c r="V7">
        <f t="shared" ref="V7" si="14">IF(B7="E",1,0)</f>
        <v>0</v>
      </c>
      <c r="W7">
        <f t="shared" ref="W7" si="15">IF(B7=10,1,0)</f>
        <v>0</v>
      </c>
      <c r="AA7" s="8"/>
      <c r="AJ7" s="4"/>
    </row>
    <row r="8" spans="1:40" x14ac:dyDescent="0.25">
      <c r="A8">
        <v>7</v>
      </c>
      <c r="B8">
        <v>7</v>
      </c>
      <c r="C8" t="s">
        <v>49</v>
      </c>
      <c r="D8" s="16" t="s">
        <v>658</v>
      </c>
      <c r="E8" s="16"/>
      <c r="F8">
        <v>14.88</v>
      </c>
      <c r="G8">
        <v>270</v>
      </c>
      <c r="H8">
        <v>3</v>
      </c>
      <c r="I8">
        <f>2*1.2*(2.5+4.5)</f>
        <v>16.8</v>
      </c>
      <c r="L8">
        <f>Constants!$B$2</f>
        <v>2.8</v>
      </c>
      <c r="M8">
        <f t="shared" si="0"/>
        <v>270</v>
      </c>
      <c r="N8">
        <f>P8*Constants!$E$2</f>
        <v>5.0999999999999996</v>
      </c>
      <c r="P8">
        <f t="shared" si="1"/>
        <v>3</v>
      </c>
      <c r="Q8">
        <f>P8*Constants!$B$3</f>
        <v>12.599999999999998</v>
      </c>
      <c r="R8">
        <f t="shared" si="5"/>
        <v>7.4999999999999982</v>
      </c>
      <c r="S8">
        <f t="shared" si="2"/>
        <v>13.8</v>
      </c>
      <c r="T8">
        <f>S8*Constants!$B$2</f>
        <v>38.64</v>
      </c>
      <c r="V8">
        <f t="shared" si="3"/>
        <v>0</v>
      </c>
      <c r="W8">
        <f t="shared" si="4"/>
        <v>0</v>
      </c>
      <c r="AA8" s="8"/>
      <c r="AJ8" s="4"/>
    </row>
    <row r="9" spans="1:40" x14ac:dyDescent="0.25">
      <c r="A9">
        <v>8</v>
      </c>
      <c r="B9">
        <v>7</v>
      </c>
      <c r="C9" t="s">
        <v>49</v>
      </c>
      <c r="D9" s="16" t="s">
        <v>659</v>
      </c>
      <c r="F9">
        <v>15.03</v>
      </c>
      <c r="G9">
        <v>270</v>
      </c>
      <c r="H9">
        <v>3</v>
      </c>
      <c r="I9">
        <f>2*1.2*(2.5+4.5)</f>
        <v>16.8</v>
      </c>
      <c r="L9">
        <f>Constants!$B$2</f>
        <v>2.8</v>
      </c>
      <c r="M9">
        <f t="shared" si="0"/>
        <v>270</v>
      </c>
      <c r="N9">
        <f>P9*Constants!$E$2</f>
        <v>5.0999999999999996</v>
      </c>
      <c r="P9">
        <f t="shared" si="1"/>
        <v>3</v>
      </c>
      <c r="Q9">
        <f>P9*Constants!$B$3</f>
        <v>12.599999999999998</v>
      </c>
      <c r="R9">
        <f t="shared" si="5"/>
        <v>7.4999999999999982</v>
      </c>
      <c r="S9">
        <f t="shared" si="2"/>
        <v>13.8</v>
      </c>
      <c r="T9">
        <f>S9*Constants!$B$2</f>
        <v>38.64</v>
      </c>
      <c r="V9">
        <f t="shared" si="3"/>
        <v>0</v>
      </c>
      <c r="W9">
        <f t="shared" si="4"/>
        <v>0</v>
      </c>
      <c r="AA9" s="8"/>
      <c r="AJ9" s="4"/>
    </row>
    <row r="10" spans="1:40" x14ac:dyDescent="0.25">
      <c r="A10">
        <v>9</v>
      </c>
      <c r="B10">
        <v>7</v>
      </c>
      <c r="C10" t="s">
        <v>49</v>
      </c>
      <c r="D10" s="16" t="s">
        <v>660</v>
      </c>
      <c r="F10">
        <v>18.2</v>
      </c>
      <c r="G10">
        <v>270</v>
      </c>
      <c r="H10">
        <v>3.6</v>
      </c>
      <c r="I10">
        <f>2*1.2*(3+4.5)</f>
        <v>18</v>
      </c>
      <c r="L10">
        <f>Constants!$B$2</f>
        <v>2.8</v>
      </c>
      <c r="M10">
        <f t="shared" si="0"/>
        <v>270</v>
      </c>
      <c r="N10">
        <f>P10*Constants!$E$2</f>
        <v>6.12</v>
      </c>
      <c r="P10">
        <f t="shared" si="1"/>
        <v>3.6</v>
      </c>
      <c r="Q10">
        <f>P10*Constants!$B$3</f>
        <v>15.119999999999997</v>
      </c>
      <c r="R10">
        <f t="shared" si="5"/>
        <v>8.9999999999999964</v>
      </c>
      <c r="S10">
        <f t="shared" si="2"/>
        <v>14.4</v>
      </c>
      <c r="T10">
        <f>S10*Constants!$B$2</f>
        <v>40.32</v>
      </c>
      <c r="V10">
        <f t="shared" si="3"/>
        <v>0</v>
      </c>
      <c r="W10">
        <f t="shared" si="4"/>
        <v>0</v>
      </c>
      <c r="AA10" s="8"/>
      <c r="AJ10" s="4"/>
    </row>
    <row r="11" spans="1:40" x14ac:dyDescent="0.25">
      <c r="A11">
        <v>10</v>
      </c>
      <c r="B11">
        <v>7</v>
      </c>
      <c r="C11" t="s">
        <v>49</v>
      </c>
      <c r="D11" s="16" t="s">
        <v>661</v>
      </c>
      <c r="F11">
        <v>31.81</v>
      </c>
      <c r="G11">
        <v>270</v>
      </c>
      <c r="H11">
        <v>3.6</v>
      </c>
      <c r="I11">
        <f>2*1.2*(3+4.5)</f>
        <v>18</v>
      </c>
      <c r="L11">
        <f>Constants!$B$2</f>
        <v>2.8</v>
      </c>
      <c r="M11">
        <f>IF(N11&gt;0,G11,"N/A")</f>
        <v>270</v>
      </c>
      <c r="N11">
        <f>P11*Constants!$E$2</f>
        <v>6.12</v>
      </c>
      <c r="P11">
        <f>H11</f>
        <v>3.6</v>
      </c>
      <c r="Q11">
        <f>P11*Constants!$B$3</f>
        <v>15.119999999999997</v>
      </c>
      <c r="R11">
        <f t="shared" si="5"/>
        <v>8.9999999999999964</v>
      </c>
      <c r="S11">
        <f>I11-P11</f>
        <v>14.4</v>
      </c>
      <c r="T11">
        <f>S11*Constants!$B$2</f>
        <v>40.32</v>
      </c>
      <c r="V11">
        <f t="shared" si="3"/>
        <v>0</v>
      </c>
      <c r="W11">
        <f t="shared" si="4"/>
        <v>0</v>
      </c>
      <c r="AA11" s="8"/>
      <c r="AJ11" s="4"/>
    </row>
    <row r="12" spans="1:40" x14ac:dyDescent="0.25">
      <c r="A12">
        <v>11</v>
      </c>
      <c r="B12">
        <v>7</v>
      </c>
      <c r="C12" t="s">
        <v>49</v>
      </c>
      <c r="D12" s="16" t="s">
        <v>662</v>
      </c>
      <c r="F12">
        <v>25.19</v>
      </c>
      <c r="G12">
        <v>270</v>
      </c>
      <c r="H12">
        <v>3.6</v>
      </c>
      <c r="I12">
        <f>2*1.2*(3+4.5)</f>
        <v>18</v>
      </c>
      <c r="L12">
        <f>Constants!$B$2</f>
        <v>2.8</v>
      </c>
      <c r="M12">
        <f t="shared" si="0"/>
        <v>270</v>
      </c>
      <c r="N12">
        <f>P12*Constants!$E$2</f>
        <v>6.12</v>
      </c>
      <c r="P12">
        <f t="shared" si="1"/>
        <v>3.6</v>
      </c>
      <c r="Q12">
        <f>P12*Constants!$B$3</f>
        <v>15.119999999999997</v>
      </c>
      <c r="R12">
        <f t="shared" si="5"/>
        <v>8.9999999999999964</v>
      </c>
      <c r="S12">
        <f t="shared" si="2"/>
        <v>14.4</v>
      </c>
      <c r="T12">
        <f>S12*Constants!$B$2</f>
        <v>40.32</v>
      </c>
      <c r="V12">
        <f t="shared" si="3"/>
        <v>0</v>
      </c>
      <c r="W12">
        <f t="shared" si="4"/>
        <v>0</v>
      </c>
      <c r="AA12" s="8"/>
      <c r="AJ12" s="4"/>
    </row>
    <row r="13" spans="1:40" x14ac:dyDescent="0.25">
      <c r="A13">
        <v>12</v>
      </c>
      <c r="B13">
        <v>7</v>
      </c>
      <c r="C13" t="s">
        <v>62</v>
      </c>
      <c r="D13" s="16" t="s">
        <v>663</v>
      </c>
      <c r="F13">
        <v>20.76</v>
      </c>
      <c r="G13">
        <v>0</v>
      </c>
      <c r="H13">
        <v>4</v>
      </c>
      <c r="I13">
        <f>2*(4+5.3)</f>
        <v>18.600000000000001</v>
      </c>
      <c r="L13">
        <f>Constants!$B$2</f>
        <v>2.8</v>
      </c>
      <c r="M13">
        <f t="shared" si="0"/>
        <v>0</v>
      </c>
      <c r="N13">
        <f>P13*Constants!$E$2</f>
        <v>6.8</v>
      </c>
      <c r="P13">
        <f t="shared" si="1"/>
        <v>4</v>
      </c>
      <c r="Q13">
        <f>P13*Constants!$B$3</f>
        <v>16.799999999999997</v>
      </c>
      <c r="R13">
        <f t="shared" si="5"/>
        <v>9.9999999999999964</v>
      </c>
      <c r="S13">
        <f t="shared" si="2"/>
        <v>14.600000000000001</v>
      </c>
      <c r="T13">
        <f>S13*Constants!$B$2</f>
        <v>40.880000000000003</v>
      </c>
      <c r="V13">
        <f t="shared" si="3"/>
        <v>0</v>
      </c>
      <c r="W13">
        <f t="shared" si="4"/>
        <v>0</v>
      </c>
      <c r="AA13" s="8"/>
      <c r="AJ13" s="4"/>
    </row>
    <row r="14" spans="1:40" x14ac:dyDescent="0.25">
      <c r="A14">
        <v>13</v>
      </c>
      <c r="B14">
        <v>7</v>
      </c>
      <c r="C14" t="s">
        <v>64</v>
      </c>
      <c r="D14" s="16" t="s">
        <v>664</v>
      </c>
      <c r="F14">
        <v>3.72</v>
      </c>
      <c r="G14">
        <v>90</v>
      </c>
      <c r="H14">
        <v>1.4</v>
      </c>
      <c r="I14">
        <f>2*(3.5+1.4)</f>
        <v>9.8000000000000007</v>
      </c>
      <c r="L14">
        <f>Constants!$B$2</f>
        <v>2.8</v>
      </c>
      <c r="M14">
        <f t="shared" si="0"/>
        <v>90</v>
      </c>
      <c r="N14">
        <f>P14*Constants!$E$2</f>
        <v>2.38</v>
      </c>
      <c r="P14">
        <f t="shared" si="1"/>
        <v>1.4</v>
      </c>
      <c r="Q14">
        <f>P14*Constants!$B$3</f>
        <v>5.879999999999999</v>
      </c>
      <c r="R14">
        <f t="shared" si="5"/>
        <v>3.4999999999999991</v>
      </c>
      <c r="S14">
        <f t="shared" si="2"/>
        <v>8.4</v>
      </c>
      <c r="T14">
        <f>S14*Constants!$B$2</f>
        <v>23.52</v>
      </c>
      <c r="V14">
        <f t="shared" si="3"/>
        <v>0</v>
      </c>
      <c r="W14">
        <f t="shared" si="4"/>
        <v>0</v>
      </c>
      <c r="AA14" s="8"/>
      <c r="AJ14" s="4"/>
    </row>
    <row r="15" spans="1:40" x14ac:dyDescent="0.25">
      <c r="A15">
        <v>14</v>
      </c>
      <c r="B15">
        <v>7</v>
      </c>
      <c r="C15" t="s">
        <v>64</v>
      </c>
      <c r="D15" s="16" t="s">
        <v>665</v>
      </c>
      <c r="F15">
        <v>3.72</v>
      </c>
      <c r="G15">
        <v>90</v>
      </c>
      <c r="H15">
        <v>1.4</v>
      </c>
      <c r="I15">
        <f>2*(3.5+1.4)</f>
        <v>9.8000000000000007</v>
      </c>
      <c r="L15">
        <f>Constants!$B$2</f>
        <v>2.8</v>
      </c>
      <c r="M15">
        <f t="shared" si="0"/>
        <v>90</v>
      </c>
      <c r="N15">
        <f>P15*Constants!$E$2</f>
        <v>2.38</v>
      </c>
      <c r="P15">
        <f t="shared" si="1"/>
        <v>1.4</v>
      </c>
      <c r="Q15">
        <f>P15*Constants!$B$3</f>
        <v>5.879999999999999</v>
      </c>
      <c r="R15">
        <f t="shared" si="5"/>
        <v>3.4999999999999991</v>
      </c>
      <c r="S15">
        <f t="shared" si="2"/>
        <v>8.4</v>
      </c>
      <c r="T15">
        <f>S15*Constants!$B$2</f>
        <v>23.52</v>
      </c>
      <c r="V15">
        <f t="shared" si="3"/>
        <v>0</v>
      </c>
      <c r="W15">
        <f t="shared" si="4"/>
        <v>0</v>
      </c>
      <c r="AA15" s="8"/>
      <c r="AJ15" s="4"/>
    </row>
    <row r="16" spans="1:40" x14ac:dyDescent="0.25">
      <c r="A16">
        <v>15</v>
      </c>
      <c r="B16">
        <v>7</v>
      </c>
      <c r="C16" t="s">
        <v>62</v>
      </c>
      <c r="D16" s="16" t="s">
        <v>666</v>
      </c>
      <c r="F16">
        <v>144.22999999999999</v>
      </c>
      <c r="G16" t="s">
        <v>44</v>
      </c>
      <c r="H16">
        <v>0</v>
      </c>
      <c r="I16">
        <v>120</v>
      </c>
      <c r="L16">
        <f>Constants!$B$2</f>
        <v>2.8</v>
      </c>
      <c r="M16" t="str">
        <f t="shared" si="0"/>
        <v>N/A</v>
      </c>
      <c r="N16">
        <f>P16*Constants!$E$2</f>
        <v>0</v>
      </c>
      <c r="P16">
        <f t="shared" si="1"/>
        <v>0</v>
      </c>
      <c r="Q16">
        <f>P16*Constants!$B$3</f>
        <v>0</v>
      </c>
      <c r="R16">
        <f t="shared" si="5"/>
        <v>0</v>
      </c>
      <c r="S16">
        <f t="shared" si="2"/>
        <v>120</v>
      </c>
      <c r="T16">
        <f>S16*Constants!$B$2</f>
        <v>336</v>
      </c>
      <c r="V16">
        <f t="shared" si="3"/>
        <v>0</v>
      </c>
      <c r="W16">
        <f t="shared" si="4"/>
        <v>0</v>
      </c>
      <c r="AA16" s="8"/>
      <c r="AJ16" s="4"/>
    </row>
    <row r="17" spans="1:36" x14ac:dyDescent="0.25">
      <c r="A17">
        <v>16</v>
      </c>
      <c r="B17">
        <v>7</v>
      </c>
      <c r="C17" t="s">
        <v>45</v>
      </c>
      <c r="D17" s="16" t="s">
        <v>667</v>
      </c>
      <c r="E17" s="16"/>
      <c r="F17">
        <v>11.99</v>
      </c>
      <c r="G17" t="s">
        <v>44</v>
      </c>
      <c r="H17">
        <v>0</v>
      </c>
      <c r="I17">
        <f>2*1.2*(6)</f>
        <v>14.399999999999999</v>
      </c>
      <c r="L17">
        <f>Constants!$B$2</f>
        <v>2.8</v>
      </c>
      <c r="M17" t="str">
        <f t="shared" si="0"/>
        <v>N/A</v>
      </c>
      <c r="N17">
        <f>P17*Constants!$E$2</f>
        <v>0</v>
      </c>
      <c r="P17">
        <f t="shared" si="1"/>
        <v>0</v>
      </c>
      <c r="Q17">
        <f>P17*Constants!$B$3</f>
        <v>0</v>
      </c>
      <c r="R17">
        <f t="shared" si="5"/>
        <v>0</v>
      </c>
      <c r="S17">
        <f t="shared" si="2"/>
        <v>14.399999999999999</v>
      </c>
      <c r="T17">
        <f>S17*Constants!$B$2</f>
        <v>40.319999999999993</v>
      </c>
      <c r="V17">
        <f t="shared" si="3"/>
        <v>0</v>
      </c>
      <c r="W17">
        <f t="shared" si="4"/>
        <v>0</v>
      </c>
      <c r="AA17" s="8"/>
      <c r="AJ17" s="4"/>
    </row>
    <row r="18" spans="1:36" x14ac:dyDescent="0.25">
      <c r="A18">
        <v>17</v>
      </c>
      <c r="B18">
        <v>7</v>
      </c>
      <c r="C18" t="s">
        <v>54</v>
      </c>
      <c r="D18" s="16" t="s">
        <v>668</v>
      </c>
      <c r="E18" s="16"/>
      <c r="F18">
        <v>12.21</v>
      </c>
      <c r="G18">
        <v>90</v>
      </c>
      <c r="H18">
        <v>3.6</v>
      </c>
      <c r="I18">
        <f>2*1.2*(3+3)</f>
        <v>14.399999999999999</v>
      </c>
      <c r="L18">
        <f>Constants!$B$2</f>
        <v>2.8</v>
      </c>
      <c r="M18">
        <f t="shared" si="0"/>
        <v>90</v>
      </c>
      <c r="N18">
        <f>P18*Constants!$E$2</f>
        <v>6.12</v>
      </c>
      <c r="P18">
        <f t="shared" si="1"/>
        <v>3.6</v>
      </c>
      <c r="Q18">
        <f>P18*Constants!$B$3</f>
        <v>15.119999999999997</v>
      </c>
      <c r="R18">
        <f t="shared" si="5"/>
        <v>8.9999999999999964</v>
      </c>
      <c r="S18">
        <f t="shared" si="2"/>
        <v>10.799999999999999</v>
      </c>
      <c r="T18">
        <f>S18*Constants!$B$2</f>
        <v>30.239999999999995</v>
      </c>
      <c r="V18">
        <f t="shared" si="3"/>
        <v>0</v>
      </c>
      <c r="W18">
        <f t="shared" si="4"/>
        <v>0</v>
      </c>
      <c r="AA18" s="8"/>
      <c r="AJ18" s="4"/>
    </row>
    <row r="19" spans="1:36" x14ac:dyDescent="0.25">
      <c r="A19">
        <v>18</v>
      </c>
      <c r="B19">
        <v>7</v>
      </c>
      <c r="C19" t="s">
        <v>49</v>
      </c>
      <c r="D19" s="16" t="s">
        <v>669</v>
      </c>
      <c r="E19" s="16"/>
      <c r="F19">
        <v>18.2</v>
      </c>
      <c r="G19">
        <v>90</v>
      </c>
      <c r="H19">
        <v>3.6</v>
      </c>
      <c r="I19">
        <f>2*1.2*(3+4.5)</f>
        <v>18</v>
      </c>
      <c r="L19">
        <f>Constants!$B$2</f>
        <v>2.8</v>
      </c>
      <c r="M19">
        <f t="shared" si="0"/>
        <v>90</v>
      </c>
      <c r="N19">
        <f>P19*Constants!$E$2</f>
        <v>6.12</v>
      </c>
      <c r="P19">
        <f t="shared" si="1"/>
        <v>3.6</v>
      </c>
      <c r="Q19">
        <f>P19*Constants!$B$3</f>
        <v>15.119999999999997</v>
      </c>
      <c r="R19">
        <f t="shared" si="5"/>
        <v>8.9999999999999964</v>
      </c>
      <c r="S19">
        <f t="shared" si="2"/>
        <v>14.4</v>
      </c>
      <c r="T19">
        <f>S19*Constants!$B$2</f>
        <v>40.32</v>
      </c>
      <c r="V19">
        <f t="shared" si="3"/>
        <v>0</v>
      </c>
      <c r="W19">
        <f t="shared" si="4"/>
        <v>0</v>
      </c>
      <c r="AA19" s="8"/>
      <c r="AJ19" s="4"/>
    </row>
    <row r="20" spans="1:36" x14ac:dyDescent="0.25">
      <c r="A20">
        <v>19</v>
      </c>
      <c r="B20">
        <v>7</v>
      </c>
      <c r="C20" t="s">
        <v>49</v>
      </c>
      <c r="D20" s="16" t="s">
        <v>670</v>
      </c>
      <c r="E20" s="16"/>
      <c r="F20">
        <v>31.81</v>
      </c>
      <c r="G20">
        <v>90</v>
      </c>
      <c r="H20">
        <v>3.6</v>
      </c>
      <c r="I20">
        <f>2*1.2*(3+4.5)</f>
        <v>18</v>
      </c>
      <c r="L20">
        <f>Constants!$B$2</f>
        <v>2.8</v>
      </c>
      <c r="M20">
        <f t="shared" si="0"/>
        <v>90</v>
      </c>
      <c r="N20">
        <f>P20*Constants!$E$2</f>
        <v>6.12</v>
      </c>
      <c r="P20">
        <f t="shared" si="1"/>
        <v>3.6</v>
      </c>
      <c r="Q20">
        <f>P20*Constants!$B$3</f>
        <v>15.119999999999997</v>
      </c>
      <c r="R20">
        <f t="shared" si="5"/>
        <v>8.9999999999999964</v>
      </c>
      <c r="S20">
        <f t="shared" si="2"/>
        <v>14.4</v>
      </c>
      <c r="T20">
        <f>S20*Constants!$B$2</f>
        <v>40.32</v>
      </c>
      <c r="V20">
        <f t="shared" si="3"/>
        <v>0</v>
      </c>
      <c r="W20">
        <f t="shared" si="4"/>
        <v>0</v>
      </c>
      <c r="AA20" s="8"/>
      <c r="AJ20" s="4"/>
    </row>
    <row r="21" spans="1:36" x14ac:dyDescent="0.25">
      <c r="A21">
        <v>20</v>
      </c>
      <c r="B21">
        <v>7</v>
      </c>
      <c r="C21" t="s">
        <v>49</v>
      </c>
      <c r="D21" s="16" t="s">
        <v>671</v>
      </c>
      <c r="E21" s="16"/>
      <c r="F21">
        <v>15.03</v>
      </c>
      <c r="G21">
        <v>90</v>
      </c>
      <c r="H21">
        <v>3</v>
      </c>
      <c r="I21">
        <f>2*1.2*(4.5+2.5)</f>
        <v>16.8</v>
      </c>
      <c r="L21">
        <f>Constants!$B$2</f>
        <v>2.8</v>
      </c>
      <c r="M21">
        <f t="shared" si="0"/>
        <v>90</v>
      </c>
      <c r="N21">
        <f>P21*Constants!$E$2</f>
        <v>5.0999999999999996</v>
      </c>
      <c r="P21">
        <f t="shared" si="1"/>
        <v>3</v>
      </c>
      <c r="Q21">
        <f>P21*Constants!$B$3</f>
        <v>12.599999999999998</v>
      </c>
      <c r="R21">
        <f t="shared" si="5"/>
        <v>7.4999999999999982</v>
      </c>
      <c r="S21">
        <f t="shared" si="2"/>
        <v>13.8</v>
      </c>
      <c r="T21">
        <f>S21*Constants!$B$2</f>
        <v>38.64</v>
      </c>
      <c r="V21">
        <f t="shared" si="3"/>
        <v>0</v>
      </c>
      <c r="W21">
        <f t="shared" si="4"/>
        <v>0</v>
      </c>
      <c r="AA21" s="8"/>
      <c r="AJ21" s="4"/>
    </row>
    <row r="22" spans="1:36" x14ac:dyDescent="0.25">
      <c r="A22">
        <v>21</v>
      </c>
      <c r="B22">
        <v>7</v>
      </c>
      <c r="C22" t="s">
        <v>49</v>
      </c>
      <c r="D22" s="16" t="s">
        <v>672</v>
      </c>
      <c r="E22" s="16"/>
      <c r="F22">
        <v>14.88</v>
      </c>
      <c r="G22">
        <v>90</v>
      </c>
      <c r="H22">
        <v>3</v>
      </c>
      <c r="I22">
        <f>2*1.2*(4.5+2.5)</f>
        <v>16.8</v>
      </c>
      <c r="L22">
        <f>Constants!$B$2</f>
        <v>2.8</v>
      </c>
      <c r="M22">
        <f t="shared" si="0"/>
        <v>90</v>
      </c>
      <c r="N22">
        <f>P22*Constants!$E$2</f>
        <v>5.0999999999999996</v>
      </c>
      <c r="P22">
        <f t="shared" si="1"/>
        <v>3</v>
      </c>
      <c r="Q22">
        <f>P22*Constants!$B$3</f>
        <v>12.599999999999998</v>
      </c>
      <c r="R22">
        <f t="shared" si="5"/>
        <v>7.4999999999999982</v>
      </c>
      <c r="S22">
        <f t="shared" si="2"/>
        <v>13.8</v>
      </c>
      <c r="T22">
        <f>S22*Constants!$B$2</f>
        <v>38.64</v>
      </c>
      <c r="V22">
        <f t="shared" si="3"/>
        <v>0</v>
      </c>
      <c r="W22">
        <f t="shared" si="4"/>
        <v>0</v>
      </c>
      <c r="AA22" s="8"/>
      <c r="AJ22" s="4"/>
    </row>
    <row r="23" spans="1:36" x14ac:dyDescent="0.25">
      <c r="A23">
        <v>22</v>
      </c>
      <c r="B23">
        <v>7</v>
      </c>
      <c r="C23" t="s">
        <v>49</v>
      </c>
      <c r="D23" s="16" t="s">
        <v>673</v>
      </c>
      <c r="F23">
        <v>14.88</v>
      </c>
      <c r="G23">
        <v>90</v>
      </c>
      <c r="H23">
        <v>3</v>
      </c>
      <c r="I23">
        <f>2*1.2*(4.5+2.5)</f>
        <v>16.8</v>
      </c>
      <c r="L23">
        <f>Constants!$B$2</f>
        <v>2.8</v>
      </c>
      <c r="M23">
        <f t="shared" si="0"/>
        <v>90</v>
      </c>
      <c r="N23">
        <f>P23*Constants!$E$2</f>
        <v>5.0999999999999996</v>
      </c>
      <c r="P23">
        <f t="shared" si="1"/>
        <v>3</v>
      </c>
      <c r="Q23">
        <f>P23*Constants!$B$3</f>
        <v>12.599999999999998</v>
      </c>
      <c r="R23">
        <f t="shared" si="5"/>
        <v>7.4999999999999982</v>
      </c>
      <c r="S23">
        <f t="shared" si="2"/>
        <v>13.8</v>
      </c>
      <c r="T23">
        <f>S23*Constants!$B$2</f>
        <v>38.64</v>
      </c>
      <c r="V23">
        <f t="shared" si="3"/>
        <v>0</v>
      </c>
      <c r="W23">
        <f t="shared" si="4"/>
        <v>0</v>
      </c>
      <c r="AA23" s="8"/>
      <c r="AJ23" s="4"/>
    </row>
    <row r="24" spans="1:36" x14ac:dyDescent="0.25">
      <c r="A24">
        <v>23</v>
      </c>
      <c r="B24">
        <v>7</v>
      </c>
      <c r="C24" t="s">
        <v>59</v>
      </c>
      <c r="D24" s="16" t="s">
        <v>674</v>
      </c>
      <c r="F24">
        <v>19.88</v>
      </c>
      <c r="G24">
        <v>90</v>
      </c>
      <c r="H24">
        <v>3</v>
      </c>
      <c r="I24">
        <f>2*1.2*(2.5+6.5)</f>
        <v>21.599999999999998</v>
      </c>
      <c r="L24">
        <f>Constants!$B$2</f>
        <v>2.8</v>
      </c>
      <c r="M24">
        <f t="shared" si="0"/>
        <v>90</v>
      </c>
      <c r="N24">
        <f>P24*Constants!$E$2</f>
        <v>5.0999999999999996</v>
      </c>
      <c r="P24">
        <f t="shared" si="1"/>
        <v>3</v>
      </c>
      <c r="Q24">
        <f>P24*Constants!$B$3</f>
        <v>12.599999999999998</v>
      </c>
      <c r="R24">
        <f t="shared" si="5"/>
        <v>7.4999999999999982</v>
      </c>
      <c r="S24">
        <f t="shared" si="2"/>
        <v>18.599999999999998</v>
      </c>
      <c r="T24">
        <f>S24*Constants!$B$2</f>
        <v>52.079999999999991</v>
      </c>
      <c r="V24">
        <f t="shared" si="3"/>
        <v>0</v>
      </c>
      <c r="W24">
        <f t="shared" si="4"/>
        <v>0</v>
      </c>
      <c r="AA24" s="8"/>
      <c r="AJ24" s="4"/>
    </row>
    <row r="25" spans="1:36" x14ac:dyDescent="0.25">
      <c r="A25">
        <v>24</v>
      </c>
      <c r="B25">
        <v>7</v>
      </c>
      <c r="C25" t="s">
        <v>59</v>
      </c>
      <c r="D25" s="16" t="s">
        <v>675</v>
      </c>
      <c r="E25" s="16"/>
      <c r="F25">
        <v>31.98</v>
      </c>
      <c r="G25">
        <v>90</v>
      </c>
      <c r="H25">
        <f>4*1.2</f>
        <v>4.8</v>
      </c>
      <c r="I25">
        <f>2*1.2*(6.5+4)</f>
        <v>25.2</v>
      </c>
      <c r="L25">
        <f>Constants!$B$2</f>
        <v>2.8</v>
      </c>
      <c r="M25">
        <f t="shared" si="0"/>
        <v>90</v>
      </c>
      <c r="N25">
        <f>P25*Constants!$E$2</f>
        <v>8.16</v>
      </c>
      <c r="P25">
        <f t="shared" si="1"/>
        <v>4.8</v>
      </c>
      <c r="Q25">
        <f>P25*Constants!$B$3</f>
        <v>20.159999999999997</v>
      </c>
      <c r="R25">
        <f t="shared" si="5"/>
        <v>11.999999999999996</v>
      </c>
      <c r="S25">
        <f t="shared" si="2"/>
        <v>20.399999999999999</v>
      </c>
      <c r="T25">
        <f>S25*Constants!$B$2</f>
        <v>57.11999999999999</v>
      </c>
      <c r="V25">
        <f t="shared" si="3"/>
        <v>0</v>
      </c>
      <c r="W25">
        <f t="shared" si="4"/>
        <v>0</v>
      </c>
      <c r="AA25" s="8"/>
      <c r="AJ25" s="4"/>
    </row>
    <row r="26" spans="1:36" x14ac:dyDescent="0.25">
      <c r="A26">
        <v>25</v>
      </c>
      <c r="B26">
        <v>7</v>
      </c>
      <c r="C26" t="s">
        <v>57</v>
      </c>
      <c r="D26" s="16" t="s">
        <v>676</v>
      </c>
      <c r="F26">
        <v>5.0599999999999996</v>
      </c>
      <c r="G26" t="s">
        <v>44</v>
      </c>
      <c r="H26">
        <v>0</v>
      </c>
      <c r="I26">
        <f>2*1.2*(4)</f>
        <v>9.6</v>
      </c>
      <c r="L26">
        <f>Constants!$B$2</f>
        <v>2.8</v>
      </c>
      <c r="M26" t="str">
        <f t="shared" si="0"/>
        <v>N/A</v>
      </c>
      <c r="N26">
        <f>P26*Constants!$E$2</f>
        <v>0</v>
      </c>
      <c r="P26">
        <f t="shared" si="1"/>
        <v>0</v>
      </c>
      <c r="Q26">
        <f>P26*Constants!$B$3</f>
        <v>0</v>
      </c>
      <c r="R26">
        <f t="shared" si="5"/>
        <v>0</v>
      </c>
      <c r="S26">
        <f t="shared" si="2"/>
        <v>9.6</v>
      </c>
      <c r="T26">
        <f>S26*Constants!$B$2</f>
        <v>26.88</v>
      </c>
      <c r="V26">
        <f t="shared" si="3"/>
        <v>0</v>
      </c>
      <c r="W26">
        <f t="shared" si="4"/>
        <v>0</v>
      </c>
      <c r="AA26" s="8"/>
      <c r="AJ26" s="4"/>
    </row>
    <row r="27" spans="1:36" x14ac:dyDescent="0.25">
      <c r="A27">
        <v>26</v>
      </c>
      <c r="B27">
        <v>7</v>
      </c>
      <c r="C27" t="s">
        <v>54</v>
      </c>
      <c r="D27" s="16" t="s">
        <v>677</v>
      </c>
      <c r="F27">
        <v>40.46</v>
      </c>
      <c r="G27">
        <v>90</v>
      </c>
      <c r="H27">
        <f>5*1.2</f>
        <v>6</v>
      </c>
      <c r="I27">
        <f>2*1.2*(5+6.5)</f>
        <v>27.599999999999998</v>
      </c>
      <c r="L27">
        <f>Constants!$B$2</f>
        <v>2.8</v>
      </c>
      <c r="M27">
        <f t="shared" ref="M27:M29" si="16">IF(N27&gt;0,G27,"N/A")</f>
        <v>90</v>
      </c>
      <c r="N27">
        <f>P27*Constants!$E$2</f>
        <v>10.199999999999999</v>
      </c>
      <c r="P27">
        <f t="shared" ref="P27:P29" si="17">H27</f>
        <v>6</v>
      </c>
      <c r="Q27">
        <f>P27*Constants!$B$3</f>
        <v>25.199999999999996</v>
      </c>
      <c r="R27">
        <f t="shared" ref="R27:R29" si="18">IF(Q27-N27&lt;=0, 0, Q27-N27)</f>
        <v>14.999999999999996</v>
      </c>
      <c r="S27">
        <f t="shared" ref="S27:S29" si="19">I27-P27</f>
        <v>21.599999999999998</v>
      </c>
      <c r="T27">
        <f>S27*Constants!$B$2</f>
        <v>60.47999999999999</v>
      </c>
      <c r="V27">
        <f t="shared" ref="V27:V29" si="20">IF(B27="E",1,0)</f>
        <v>0</v>
      </c>
      <c r="W27">
        <f t="shared" ref="W27:W29" si="21">IF(B27=10,1,0)</f>
        <v>0</v>
      </c>
      <c r="AA27" s="8"/>
      <c r="AJ27" s="4"/>
    </row>
    <row r="28" spans="1:36" x14ac:dyDescent="0.25">
      <c r="A28">
        <v>27</v>
      </c>
      <c r="B28">
        <v>7</v>
      </c>
      <c r="C28" t="s">
        <v>57</v>
      </c>
      <c r="D28" s="16" t="s">
        <v>678</v>
      </c>
      <c r="E28" s="16"/>
      <c r="F28">
        <v>11.19</v>
      </c>
      <c r="G28" t="s">
        <v>44</v>
      </c>
      <c r="H28">
        <v>0</v>
      </c>
      <c r="I28">
        <f>2*1.2*(2.5+3.5)</f>
        <v>14.399999999999999</v>
      </c>
      <c r="L28">
        <f>Constants!$B$2</f>
        <v>2.8</v>
      </c>
      <c r="M28" t="str">
        <f t="shared" si="16"/>
        <v>N/A</v>
      </c>
      <c r="N28">
        <f>P28*Constants!$E$2</f>
        <v>0</v>
      </c>
      <c r="P28">
        <f t="shared" si="17"/>
        <v>0</v>
      </c>
      <c r="Q28">
        <f>P28*Constants!$B$3</f>
        <v>0</v>
      </c>
      <c r="R28">
        <f t="shared" si="18"/>
        <v>0</v>
      </c>
      <c r="S28">
        <f t="shared" si="19"/>
        <v>14.399999999999999</v>
      </c>
      <c r="T28">
        <f>S28*Constants!$B$2</f>
        <v>40.319999999999993</v>
      </c>
      <c r="V28">
        <f t="shared" si="20"/>
        <v>0</v>
      </c>
      <c r="W28">
        <f t="shared" si="21"/>
        <v>0</v>
      </c>
      <c r="AA28" s="8"/>
      <c r="AJ28" s="4"/>
    </row>
    <row r="29" spans="1:36" x14ac:dyDescent="0.25">
      <c r="A29">
        <v>28</v>
      </c>
      <c r="B29">
        <v>7</v>
      </c>
      <c r="C29" t="s">
        <v>57</v>
      </c>
      <c r="D29" s="16" t="s">
        <v>679</v>
      </c>
      <c r="F29">
        <v>6.48</v>
      </c>
      <c r="G29" t="s">
        <v>44</v>
      </c>
      <c r="H29">
        <v>0</v>
      </c>
      <c r="I29">
        <f>2*1.2*(1.5+3.5)</f>
        <v>12</v>
      </c>
      <c r="L29">
        <f>Constants!$B$2</f>
        <v>2.8</v>
      </c>
      <c r="M29" t="str">
        <f t="shared" si="16"/>
        <v>N/A</v>
      </c>
      <c r="N29">
        <f>P29*Constants!$E$2</f>
        <v>0</v>
      </c>
      <c r="P29">
        <f t="shared" si="17"/>
        <v>0</v>
      </c>
      <c r="Q29">
        <f>P29*Constants!$B$3</f>
        <v>0</v>
      </c>
      <c r="R29">
        <f t="shared" si="18"/>
        <v>0</v>
      </c>
      <c r="S29">
        <f t="shared" si="19"/>
        <v>12</v>
      </c>
      <c r="T29">
        <f>S29*Constants!$B$2</f>
        <v>33.599999999999994</v>
      </c>
      <c r="V29">
        <f t="shared" si="20"/>
        <v>0</v>
      </c>
      <c r="W29">
        <f t="shared" si="21"/>
        <v>0</v>
      </c>
      <c r="AA29" s="8"/>
      <c r="AJ29" s="4"/>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4"/>
    </row>
    <row r="428" spans="4:4" x14ac:dyDescent="0.25">
      <c r="D428" s="14"/>
    </row>
    <row r="429" spans="4:4" x14ac:dyDescent="0.25">
      <c r="D429" s="13"/>
    </row>
    <row r="430" spans="4:4" x14ac:dyDescent="0.25">
      <c r="D430" s="13"/>
    </row>
    <row r="431" spans="4:4" x14ac:dyDescent="0.25">
      <c r="D431" s="13"/>
    </row>
    <row r="432" spans="4:4" x14ac:dyDescent="0.25">
      <c r="D432" s="13"/>
    </row>
    <row r="433" spans="4:4" x14ac:dyDescent="0.25">
      <c r="D433" s="13"/>
    </row>
    <row r="434" spans="4:4" x14ac:dyDescent="0.25">
      <c r="D434" s="13"/>
    </row>
    <row r="435" spans="4:4" x14ac:dyDescent="0.25">
      <c r="D435" s="13"/>
    </row>
    <row r="436" spans="4:4" x14ac:dyDescent="0.25">
      <c r="D436" s="13"/>
    </row>
  </sheetData>
  <phoneticPr fontId="5" type="noConversion"/>
  <pageMargins left="0.7" right="0.7" top="0.78740157499999996" bottom="0.78740157499999996"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3"/>
  <sheetViews>
    <sheetView tabSelected="1" workbookViewId="0">
      <selection activeCell="E8" sqref="E8"/>
    </sheetView>
  </sheetViews>
  <sheetFormatPr baseColWidth="10" defaultRowHeight="15" x14ac:dyDescent="0.25"/>
  <cols>
    <col min="2" max="2" width="15.7109375" bestFit="1" customWidth="1"/>
    <col min="3" max="3" width="5.5703125" customWidth="1"/>
    <col min="5" max="5" width="29.140625" bestFit="1" customWidth="1"/>
  </cols>
  <sheetData>
    <row r="1" spans="1:6" x14ac:dyDescent="0.25">
      <c r="B1" s="2" t="s">
        <v>37</v>
      </c>
      <c r="C1" s="2"/>
      <c r="E1" s="2" t="s">
        <v>37</v>
      </c>
    </row>
    <row r="2" spans="1:6" x14ac:dyDescent="0.25">
      <c r="A2" t="s">
        <v>69</v>
      </c>
      <c r="B2">
        <v>2.8</v>
      </c>
      <c r="D2" t="s">
        <v>38</v>
      </c>
      <c r="E2">
        <v>1.7</v>
      </c>
      <c r="F2" t="s">
        <v>831</v>
      </c>
    </row>
    <row r="3" spans="1:6" x14ac:dyDescent="0.25">
      <c r="A3" t="s">
        <v>70</v>
      </c>
      <c r="B3">
        <f>2.8+1.4</f>
        <v>4.1999999999999993</v>
      </c>
    </row>
  </sheetData>
  <pageMargins left="0.7" right="0.7" top="0.78740157499999996" bottom="0.78740157499999996"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37"/>
  <sheetViews>
    <sheetView zoomScaleNormal="100" workbookViewId="0">
      <pane xSplit="4" ySplit="1" topLeftCell="E2" activePane="bottomRight" state="frozen"/>
      <selection pane="topRight" activeCell="F1" sqref="F1"/>
      <selection pane="bottomLeft" activeCell="A2" sqref="A2"/>
      <selection pane="bottomRight" activeCell="C14" sqref="C1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54</v>
      </c>
      <c r="D2" s="16" t="s">
        <v>680</v>
      </c>
      <c r="F2">
        <v>22.12</v>
      </c>
      <c r="G2">
        <v>270</v>
      </c>
      <c r="H2">
        <v>7.1</v>
      </c>
      <c r="I2">
        <v>20.95</v>
      </c>
      <c r="L2">
        <f>Constants!$B$2</f>
        <v>2.8</v>
      </c>
      <c r="M2">
        <f t="shared" ref="M2:M18" si="0">IF(N2&gt;0,G2,"N/A")</f>
        <v>270</v>
      </c>
      <c r="N2">
        <f>P2*Constants!$E$2</f>
        <v>12.069999999999999</v>
      </c>
      <c r="P2">
        <f>H2</f>
        <v>7.1</v>
      </c>
      <c r="Q2">
        <f>P2*Constants!$B$3</f>
        <v>29.819999999999993</v>
      </c>
      <c r="R2">
        <f>IF(Q2-N2&lt;=0, 0, Q2-N2)</f>
        <v>17.749999999999993</v>
      </c>
      <c r="S2">
        <f>I2-P2</f>
        <v>13.85</v>
      </c>
      <c r="T2">
        <f>S2*Constants!$B$2</f>
        <v>38.779999999999994</v>
      </c>
      <c r="V2">
        <f>IF(B2="E",1,0)</f>
        <v>0</v>
      </c>
      <c r="W2">
        <f>IF(B2=10,1,0)</f>
        <v>0</v>
      </c>
      <c r="AA2" s="8"/>
      <c r="AJ2" s="4"/>
    </row>
    <row r="3" spans="1:40" x14ac:dyDescent="0.25">
      <c r="A3">
        <v>2</v>
      </c>
      <c r="B3">
        <v>7</v>
      </c>
      <c r="C3" t="s">
        <v>64</v>
      </c>
      <c r="D3" s="16" t="s">
        <v>681</v>
      </c>
      <c r="F3">
        <f>1.51+1.61</f>
        <v>3.12</v>
      </c>
      <c r="G3">
        <v>270</v>
      </c>
      <c r="H3">
        <v>2.4</v>
      </c>
      <c r="I3">
        <f>5.21+5.01-1.4</f>
        <v>8.8199999999999985</v>
      </c>
      <c r="L3">
        <f>Constants!$B$2</f>
        <v>2.8</v>
      </c>
      <c r="M3">
        <f t="shared" si="0"/>
        <v>270</v>
      </c>
      <c r="N3">
        <f>P3*Constants!$E$2</f>
        <v>4.08</v>
      </c>
      <c r="P3">
        <f t="shared" ref="P3:P17" si="1">H3</f>
        <v>2.4</v>
      </c>
      <c r="Q3">
        <f>P3*Constants!$B$3</f>
        <v>10.079999999999998</v>
      </c>
      <c r="R3">
        <f t="shared" ref="R3:R18" si="2">IF(Q3-N3&lt;=0, 0, Q3-N3)</f>
        <v>5.9999999999999982</v>
      </c>
      <c r="S3">
        <f t="shared" ref="S3:S17" si="3">I3-P3</f>
        <v>6.4199999999999982</v>
      </c>
      <c r="T3">
        <f>S3*Constants!$B$2</f>
        <v>17.975999999999992</v>
      </c>
      <c r="V3">
        <f t="shared" ref="V3:V17" si="4">IF(B3="E",1,0)</f>
        <v>0</v>
      </c>
      <c r="W3">
        <f t="shared" ref="W3:W17" si="5">IF(B3=10,1,0)</f>
        <v>0</v>
      </c>
      <c r="AA3" s="8"/>
      <c r="AJ3" s="4"/>
    </row>
    <row r="4" spans="1:40" x14ac:dyDescent="0.25">
      <c r="A4">
        <v>3</v>
      </c>
      <c r="B4">
        <v>7</v>
      </c>
      <c r="C4" t="s">
        <v>64</v>
      </c>
      <c r="D4" s="16" t="s">
        <v>682</v>
      </c>
      <c r="F4">
        <f>1.47+1.58</f>
        <v>3.05</v>
      </c>
      <c r="G4" t="s">
        <v>44</v>
      </c>
      <c r="H4">
        <v>0</v>
      </c>
      <c r="I4">
        <f>5.21+5.01-1.4</f>
        <v>8.8199999999999985</v>
      </c>
      <c r="L4">
        <f>Constants!$B$2</f>
        <v>2.8</v>
      </c>
      <c r="M4" t="str">
        <f t="shared" si="0"/>
        <v>N/A</v>
      </c>
      <c r="N4">
        <f>P4*Constants!$E$2</f>
        <v>0</v>
      </c>
      <c r="P4">
        <f t="shared" si="1"/>
        <v>0</v>
      </c>
      <c r="Q4">
        <f>P4*Constants!$B$3</f>
        <v>0</v>
      </c>
      <c r="R4">
        <f t="shared" si="2"/>
        <v>0</v>
      </c>
      <c r="S4">
        <f t="shared" si="3"/>
        <v>8.8199999999999985</v>
      </c>
      <c r="T4">
        <f>S4*Constants!$B$2</f>
        <v>24.695999999999994</v>
      </c>
      <c r="V4">
        <f t="shared" si="4"/>
        <v>0</v>
      </c>
      <c r="W4">
        <f t="shared" si="5"/>
        <v>0</v>
      </c>
      <c r="AA4" s="8"/>
      <c r="AJ4" s="4"/>
    </row>
    <row r="5" spans="1:40" x14ac:dyDescent="0.25">
      <c r="A5">
        <v>4</v>
      </c>
      <c r="B5">
        <v>7</v>
      </c>
      <c r="C5" t="s">
        <v>64</v>
      </c>
      <c r="D5" s="16" t="s">
        <v>683</v>
      </c>
      <c r="F5">
        <v>5.32</v>
      </c>
      <c r="G5" t="s">
        <v>44</v>
      </c>
      <c r="H5">
        <v>0</v>
      </c>
      <c r="I5">
        <v>9.4499999999999993</v>
      </c>
      <c r="L5">
        <f>Constants!$B$2</f>
        <v>2.8</v>
      </c>
      <c r="M5" t="str">
        <f t="shared" si="0"/>
        <v>N/A</v>
      </c>
      <c r="N5">
        <f>P5*Constants!$E$2</f>
        <v>0</v>
      </c>
      <c r="P5">
        <f t="shared" si="1"/>
        <v>0</v>
      </c>
      <c r="Q5">
        <f>P5*Constants!$B$3</f>
        <v>0</v>
      </c>
      <c r="R5">
        <f t="shared" si="2"/>
        <v>0</v>
      </c>
      <c r="S5">
        <f t="shared" si="3"/>
        <v>9.4499999999999993</v>
      </c>
      <c r="T5">
        <f>S5*Constants!$B$2</f>
        <v>26.459999999999997</v>
      </c>
      <c r="V5">
        <f t="shared" si="4"/>
        <v>0</v>
      </c>
      <c r="W5">
        <f t="shared" si="5"/>
        <v>0</v>
      </c>
      <c r="AA5" s="8"/>
      <c r="AJ5" s="4"/>
    </row>
    <row r="6" spans="1:40" x14ac:dyDescent="0.25">
      <c r="A6">
        <v>5</v>
      </c>
      <c r="B6">
        <v>7</v>
      </c>
      <c r="C6" t="s">
        <v>55</v>
      </c>
      <c r="D6" s="16" t="s">
        <v>684</v>
      </c>
      <c r="F6">
        <v>1.67</v>
      </c>
      <c r="G6" t="s">
        <v>44</v>
      </c>
      <c r="H6">
        <v>0</v>
      </c>
      <c r="I6">
        <v>5.27</v>
      </c>
      <c r="L6">
        <f>Constants!$B$2</f>
        <v>2.8</v>
      </c>
      <c r="M6" t="str">
        <f t="shared" si="0"/>
        <v>N/A</v>
      </c>
      <c r="N6">
        <f>P6*Constants!$E$2</f>
        <v>0</v>
      </c>
      <c r="P6">
        <f t="shared" si="1"/>
        <v>0</v>
      </c>
      <c r="Q6">
        <f>P6*Constants!$B$3</f>
        <v>0</v>
      </c>
      <c r="R6">
        <f t="shared" si="2"/>
        <v>0</v>
      </c>
      <c r="S6">
        <f t="shared" si="3"/>
        <v>5.27</v>
      </c>
      <c r="T6">
        <f>S6*Constants!$B$2</f>
        <v>14.755999999999998</v>
      </c>
      <c r="V6">
        <f t="shared" si="4"/>
        <v>0</v>
      </c>
      <c r="W6">
        <f t="shared" si="5"/>
        <v>0</v>
      </c>
      <c r="AA6" s="8"/>
      <c r="AJ6" s="4"/>
    </row>
    <row r="7" spans="1:40" x14ac:dyDescent="0.25">
      <c r="A7">
        <v>6</v>
      </c>
      <c r="B7">
        <v>7</v>
      </c>
      <c r="C7" t="s">
        <v>50</v>
      </c>
      <c r="D7" s="16" t="s">
        <v>685</v>
      </c>
      <c r="F7">
        <v>6.66</v>
      </c>
      <c r="G7" t="s">
        <v>44</v>
      </c>
      <c r="H7">
        <v>0</v>
      </c>
      <c r="I7">
        <v>11.15</v>
      </c>
      <c r="L7">
        <f>Constants!$B$2</f>
        <v>2.8</v>
      </c>
      <c r="M7" t="str">
        <f t="shared" si="0"/>
        <v>N/A</v>
      </c>
      <c r="N7">
        <f>P7*Constants!$E$2</f>
        <v>0</v>
      </c>
      <c r="P7">
        <f t="shared" si="1"/>
        <v>0</v>
      </c>
      <c r="Q7">
        <f>P7*Constants!$B$3</f>
        <v>0</v>
      </c>
      <c r="R7">
        <f t="shared" si="2"/>
        <v>0</v>
      </c>
      <c r="S7">
        <f t="shared" si="3"/>
        <v>11.15</v>
      </c>
      <c r="T7">
        <f>S7*Constants!$B$2</f>
        <v>31.22</v>
      </c>
      <c r="V7">
        <f t="shared" si="4"/>
        <v>0</v>
      </c>
      <c r="W7">
        <f t="shared" si="5"/>
        <v>0</v>
      </c>
      <c r="AA7" s="8"/>
      <c r="AJ7" s="4"/>
    </row>
    <row r="8" spans="1:40" x14ac:dyDescent="0.25">
      <c r="A8">
        <v>7</v>
      </c>
      <c r="B8">
        <v>7</v>
      </c>
      <c r="C8" t="s">
        <v>55</v>
      </c>
      <c r="D8" s="16" t="s">
        <v>686</v>
      </c>
      <c r="E8" s="16"/>
      <c r="F8">
        <v>1.67</v>
      </c>
      <c r="G8" t="s">
        <v>44</v>
      </c>
      <c r="H8">
        <v>0</v>
      </c>
      <c r="I8">
        <v>5.34</v>
      </c>
      <c r="L8">
        <f>Constants!$B$2</f>
        <v>2.8</v>
      </c>
      <c r="M8" t="str">
        <f t="shared" si="0"/>
        <v>N/A</v>
      </c>
      <c r="N8">
        <f>P8*Constants!$E$2</f>
        <v>0</v>
      </c>
      <c r="P8">
        <f t="shared" ref="P8:P15" si="6">H8</f>
        <v>0</v>
      </c>
      <c r="Q8">
        <f>P8*Constants!$B$3</f>
        <v>0</v>
      </c>
      <c r="R8">
        <f t="shared" si="2"/>
        <v>0</v>
      </c>
      <c r="S8">
        <f t="shared" ref="S8:S15" si="7">I8-P8</f>
        <v>5.34</v>
      </c>
      <c r="T8">
        <f>S8*Constants!$B$2</f>
        <v>14.951999999999998</v>
      </c>
      <c r="V8">
        <f t="shared" si="4"/>
        <v>0</v>
      </c>
      <c r="W8">
        <f t="shared" si="5"/>
        <v>0</v>
      </c>
      <c r="AA8" s="8"/>
      <c r="AJ8" s="4"/>
    </row>
    <row r="9" spans="1:40" x14ac:dyDescent="0.25">
      <c r="A9">
        <v>8</v>
      </c>
      <c r="B9">
        <v>7</v>
      </c>
      <c r="C9" t="s">
        <v>45</v>
      </c>
      <c r="D9" s="16" t="s">
        <v>687</v>
      </c>
      <c r="F9">
        <v>11.95</v>
      </c>
      <c r="G9">
        <v>180</v>
      </c>
      <c r="H9">
        <f>1.2*3</f>
        <v>3.5999999999999996</v>
      </c>
      <c r="I9">
        <v>14.15</v>
      </c>
      <c r="L9">
        <f>Constants!$B$2</f>
        <v>2.8</v>
      </c>
      <c r="M9">
        <f t="shared" si="0"/>
        <v>180</v>
      </c>
      <c r="N9">
        <f>P9*Constants!$E$2</f>
        <v>6.1199999999999992</v>
      </c>
      <c r="P9">
        <f t="shared" si="6"/>
        <v>3.5999999999999996</v>
      </c>
      <c r="Q9">
        <f>P9*Constants!$B$3</f>
        <v>15.119999999999996</v>
      </c>
      <c r="R9">
        <f t="shared" si="2"/>
        <v>8.9999999999999964</v>
      </c>
      <c r="S9">
        <f t="shared" si="7"/>
        <v>10.55</v>
      </c>
      <c r="T9">
        <f>S9*Constants!$B$2</f>
        <v>29.54</v>
      </c>
      <c r="V9">
        <f t="shared" si="4"/>
        <v>0</v>
      </c>
      <c r="W9">
        <f t="shared" si="5"/>
        <v>0</v>
      </c>
      <c r="AA9" s="8"/>
      <c r="AJ9" s="4"/>
    </row>
    <row r="10" spans="1:40" x14ac:dyDescent="0.25">
      <c r="A10">
        <v>9</v>
      </c>
      <c r="B10">
        <v>7</v>
      </c>
      <c r="C10" t="s">
        <v>45</v>
      </c>
      <c r="D10" s="16" t="s">
        <v>695</v>
      </c>
      <c r="F10">
        <v>15.88</v>
      </c>
      <c r="G10">
        <v>180</v>
      </c>
      <c r="H10">
        <v>3.6</v>
      </c>
      <c r="I10">
        <v>16.2</v>
      </c>
      <c r="L10">
        <f>Constants!$B$2</f>
        <v>2.8</v>
      </c>
      <c r="M10">
        <f t="shared" ref="M10" si="8">IF(N10&gt;0,G10,"N/A")</f>
        <v>180</v>
      </c>
      <c r="N10">
        <f>P10*Constants!$E$2</f>
        <v>6.12</v>
      </c>
      <c r="P10">
        <f t="shared" si="6"/>
        <v>3.6</v>
      </c>
      <c r="Q10">
        <f>P10*Constants!$B$3</f>
        <v>15.119999999999997</v>
      </c>
      <c r="R10">
        <f t="shared" ref="R10" si="9">IF(Q10-N10&lt;=0, 0, Q10-N10)</f>
        <v>8.9999999999999964</v>
      </c>
      <c r="S10">
        <f t="shared" si="7"/>
        <v>12.6</v>
      </c>
      <c r="T10">
        <f>S10*Constants!$B$2</f>
        <v>35.279999999999994</v>
      </c>
      <c r="V10">
        <f t="shared" ref="V10" si="10">IF(B10="E",1,0)</f>
        <v>0</v>
      </c>
      <c r="W10">
        <f t="shared" ref="W10" si="11">IF(B10=10,1,0)</f>
        <v>0</v>
      </c>
      <c r="AA10" s="8"/>
      <c r="AJ10" s="4"/>
    </row>
    <row r="11" spans="1:40" x14ac:dyDescent="0.25">
      <c r="A11">
        <v>10</v>
      </c>
      <c r="B11">
        <v>7</v>
      </c>
      <c r="C11" t="s">
        <v>62</v>
      </c>
      <c r="D11" s="16" t="s">
        <v>688</v>
      </c>
      <c r="F11">
        <v>20.57</v>
      </c>
      <c r="G11">
        <v>180</v>
      </c>
      <c r="H11">
        <v>3.6</v>
      </c>
      <c r="I11">
        <f>2*(6.4+3.6)</f>
        <v>20</v>
      </c>
      <c r="L11">
        <f>Constants!$B$2</f>
        <v>2.8</v>
      </c>
      <c r="M11">
        <f t="shared" si="0"/>
        <v>180</v>
      </c>
      <c r="N11">
        <f>P11*Constants!$E$2</f>
        <v>6.12</v>
      </c>
      <c r="P11">
        <f t="shared" si="6"/>
        <v>3.6</v>
      </c>
      <c r="Q11">
        <f>P11*Constants!$B$3</f>
        <v>15.119999999999997</v>
      </c>
      <c r="R11">
        <f t="shared" si="2"/>
        <v>8.9999999999999964</v>
      </c>
      <c r="S11">
        <f t="shared" si="7"/>
        <v>16.399999999999999</v>
      </c>
      <c r="T11">
        <f>S11*Constants!$B$2</f>
        <v>45.919999999999995</v>
      </c>
      <c r="V11">
        <f t="shared" si="4"/>
        <v>0</v>
      </c>
      <c r="W11">
        <f t="shared" si="5"/>
        <v>0</v>
      </c>
      <c r="AA11" s="8"/>
      <c r="AJ11" s="4"/>
    </row>
    <row r="12" spans="1:40" x14ac:dyDescent="0.25">
      <c r="A12">
        <v>11</v>
      </c>
      <c r="B12">
        <v>7</v>
      </c>
      <c r="C12" t="s">
        <v>62</v>
      </c>
      <c r="D12" s="16" t="s">
        <v>689</v>
      </c>
      <c r="F12">
        <v>51.16</v>
      </c>
      <c r="G12">
        <v>180</v>
      </c>
      <c r="H12">
        <v>7.1</v>
      </c>
      <c r="I12">
        <f>2*(10.6+5.3)</f>
        <v>31.799999999999997</v>
      </c>
      <c r="L12">
        <f>Constants!$B$2</f>
        <v>2.8</v>
      </c>
      <c r="M12">
        <f t="shared" si="0"/>
        <v>180</v>
      </c>
      <c r="N12">
        <f>P12*Constants!$E$2</f>
        <v>12.069999999999999</v>
      </c>
      <c r="P12">
        <f t="shared" si="6"/>
        <v>7.1</v>
      </c>
      <c r="Q12">
        <f>P12*Constants!$B$3</f>
        <v>29.819999999999993</v>
      </c>
      <c r="R12">
        <f t="shared" si="2"/>
        <v>17.749999999999993</v>
      </c>
      <c r="S12">
        <f t="shared" si="7"/>
        <v>24.699999999999996</v>
      </c>
      <c r="T12">
        <f>S12*Constants!$B$2</f>
        <v>69.159999999999982</v>
      </c>
      <c r="V12">
        <f t="shared" si="4"/>
        <v>0</v>
      </c>
      <c r="W12">
        <f t="shared" si="5"/>
        <v>0</v>
      </c>
      <c r="AA12" s="8"/>
      <c r="AJ12" s="4"/>
    </row>
    <row r="13" spans="1:40" x14ac:dyDescent="0.25">
      <c r="A13">
        <v>12</v>
      </c>
      <c r="B13">
        <v>7</v>
      </c>
      <c r="C13" t="s">
        <v>55</v>
      </c>
      <c r="D13" s="16" t="s">
        <v>690</v>
      </c>
      <c r="F13">
        <v>1.67</v>
      </c>
      <c r="G13" t="s">
        <v>44</v>
      </c>
      <c r="H13">
        <v>0</v>
      </c>
      <c r="I13">
        <v>5.34</v>
      </c>
      <c r="L13">
        <f>Constants!$B$2</f>
        <v>2.8</v>
      </c>
      <c r="M13" t="str">
        <f t="shared" si="0"/>
        <v>N/A</v>
      </c>
      <c r="N13">
        <f>P13*Constants!$E$2</f>
        <v>0</v>
      </c>
      <c r="P13">
        <f t="shared" si="6"/>
        <v>0</v>
      </c>
      <c r="Q13">
        <f>P13*Constants!$B$3</f>
        <v>0</v>
      </c>
      <c r="R13">
        <f t="shared" si="2"/>
        <v>0</v>
      </c>
      <c r="S13">
        <f t="shared" si="7"/>
        <v>5.34</v>
      </c>
      <c r="T13">
        <f>S13*Constants!$B$2</f>
        <v>14.951999999999998</v>
      </c>
      <c r="V13">
        <f t="shared" si="4"/>
        <v>0</v>
      </c>
      <c r="W13">
        <f t="shared" si="5"/>
        <v>0</v>
      </c>
      <c r="AA13" s="8"/>
      <c r="AJ13" s="4"/>
    </row>
    <row r="14" spans="1:40" x14ac:dyDescent="0.25">
      <c r="A14">
        <v>13</v>
      </c>
      <c r="B14">
        <v>7</v>
      </c>
      <c r="C14" t="s">
        <v>50</v>
      </c>
      <c r="D14" s="16" t="s">
        <v>691</v>
      </c>
      <c r="E14" s="16"/>
      <c r="F14">
        <v>6.68</v>
      </c>
      <c r="G14" t="s">
        <v>44</v>
      </c>
      <c r="H14">
        <v>0</v>
      </c>
      <c r="I14">
        <v>11.15</v>
      </c>
      <c r="L14">
        <f>Constants!$B$2</f>
        <v>2.8</v>
      </c>
      <c r="M14" t="str">
        <f t="shared" si="0"/>
        <v>N/A</v>
      </c>
      <c r="N14">
        <f>P14*Constants!$E$2</f>
        <v>0</v>
      </c>
      <c r="P14">
        <f t="shared" si="6"/>
        <v>0</v>
      </c>
      <c r="Q14">
        <f>P14*Constants!$B$3</f>
        <v>0</v>
      </c>
      <c r="R14">
        <f t="shared" si="2"/>
        <v>0</v>
      </c>
      <c r="S14">
        <f t="shared" si="7"/>
        <v>11.15</v>
      </c>
      <c r="T14">
        <f>S14*Constants!$B$2</f>
        <v>31.22</v>
      </c>
      <c r="V14">
        <f t="shared" si="4"/>
        <v>0</v>
      </c>
      <c r="W14">
        <f t="shared" si="5"/>
        <v>0</v>
      </c>
      <c r="AA14" s="8"/>
      <c r="AJ14" s="4"/>
    </row>
    <row r="15" spans="1:40" x14ac:dyDescent="0.25">
      <c r="A15">
        <v>14</v>
      </c>
      <c r="B15">
        <v>7</v>
      </c>
      <c r="C15" t="s">
        <v>54</v>
      </c>
      <c r="D15" s="16" t="s">
        <v>692</v>
      </c>
      <c r="F15">
        <v>17.940000000000001</v>
      </c>
      <c r="G15" t="s">
        <v>44</v>
      </c>
      <c r="H15">
        <v>0</v>
      </c>
      <c r="I15">
        <v>19.149999999999999</v>
      </c>
      <c r="L15">
        <f>Constants!$B$2</f>
        <v>2.8</v>
      </c>
      <c r="M15" t="str">
        <f t="shared" si="0"/>
        <v>N/A</v>
      </c>
      <c r="N15">
        <f>P15*Constants!$E$2</f>
        <v>0</v>
      </c>
      <c r="P15">
        <f t="shared" si="6"/>
        <v>0</v>
      </c>
      <c r="Q15">
        <f>P15*Constants!$B$3</f>
        <v>0</v>
      </c>
      <c r="R15">
        <f t="shared" si="2"/>
        <v>0</v>
      </c>
      <c r="S15">
        <f t="shared" si="7"/>
        <v>19.149999999999999</v>
      </c>
      <c r="T15">
        <f>S15*Constants!$B$2</f>
        <v>53.61999999999999</v>
      </c>
      <c r="V15">
        <f t="shared" si="4"/>
        <v>0</v>
      </c>
      <c r="W15">
        <f t="shared" si="5"/>
        <v>0</v>
      </c>
      <c r="AA15" s="8"/>
      <c r="AJ15" s="4"/>
    </row>
    <row r="16" spans="1:40" x14ac:dyDescent="0.25">
      <c r="A16">
        <v>15</v>
      </c>
      <c r="B16">
        <v>7</v>
      </c>
      <c r="C16" t="s">
        <v>45</v>
      </c>
      <c r="D16" s="16" t="s">
        <v>696</v>
      </c>
      <c r="E16" s="16"/>
      <c r="F16">
        <v>32.22</v>
      </c>
      <c r="G16">
        <v>180</v>
      </c>
      <c r="H16">
        <v>3</v>
      </c>
      <c r="I16">
        <v>30.45</v>
      </c>
      <c r="L16">
        <f>Constants!$B$2</f>
        <v>2.8</v>
      </c>
      <c r="M16">
        <f t="shared" ref="M16" si="12">IF(N16&gt;0,G16,"N/A")</f>
        <v>180</v>
      </c>
      <c r="N16">
        <f>P16*Constants!$E$2</f>
        <v>5.0999999999999996</v>
      </c>
      <c r="P16">
        <f t="shared" ref="P16" si="13">H16</f>
        <v>3</v>
      </c>
      <c r="Q16">
        <f>P16*Constants!$B$3</f>
        <v>12.599999999999998</v>
      </c>
      <c r="R16">
        <f t="shared" ref="R16" si="14">IF(Q16-N16&lt;=0, 0, Q16-N16)</f>
        <v>7.4999999999999982</v>
      </c>
      <c r="S16">
        <f t="shared" ref="S16" si="15">I16-P16</f>
        <v>27.45</v>
      </c>
      <c r="T16">
        <f>S16*Constants!$B$2</f>
        <v>76.86</v>
      </c>
      <c r="V16">
        <f t="shared" ref="V16" si="16">IF(B16="E",1,0)</f>
        <v>0</v>
      </c>
      <c r="W16">
        <f t="shared" ref="W16" si="17">IF(B16=10,1,0)</f>
        <v>0</v>
      </c>
      <c r="AA16" s="8"/>
      <c r="AJ16" s="4"/>
    </row>
    <row r="17" spans="1:36" x14ac:dyDescent="0.25">
      <c r="A17">
        <v>16</v>
      </c>
      <c r="B17">
        <v>7</v>
      </c>
      <c r="C17" t="s">
        <v>62</v>
      </c>
      <c r="D17" s="16" t="s">
        <v>693</v>
      </c>
      <c r="F17">
        <v>20.57</v>
      </c>
      <c r="G17">
        <v>180</v>
      </c>
      <c r="H17">
        <v>4</v>
      </c>
      <c r="I17">
        <f>2*(5.6+4)</f>
        <v>19.2</v>
      </c>
      <c r="L17">
        <f>Constants!$B$2</f>
        <v>2.8</v>
      </c>
      <c r="M17">
        <f t="shared" si="0"/>
        <v>180</v>
      </c>
      <c r="N17">
        <f>P17*Constants!$E$2</f>
        <v>6.8</v>
      </c>
      <c r="P17">
        <f t="shared" si="1"/>
        <v>4</v>
      </c>
      <c r="Q17">
        <f>P17*Constants!$B$3</f>
        <v>16.799999999999997</v>
      </c>
      <c r="R17">
        <f t="shared" si="2"/>
        <v>9.9999999999999964</v>
      </c>
      <c r="S17">
        <f t="shared" si="3"/>
        <v>15.2</v>
      </c>
      <c r="T17">
        <f>S17*Constants!$B$2</f>
        <v>42.559999999999995</v>
      </c>
      <c r="V17">
        <f t="shared" si="4"/>
        <v>0</v>
      </c>
      <c r="W17">
        <f t="shared" si="5"/>
        <v>0</v>
      </c>
      <c r="AA17" s="8"/>
      <c r="AJ17" s="4"/>
    </row>
    <row r="18" spans="1:36" x14ac:dyDescent="0.25">
      <c r="A18">
        <v>17</v>
      </c>
      <c r="B18">
        <v>7</v>
      </c>
      <c r="C18" t="s">
        <v>62</v>
      </c>
      <c r="D18" s="16" t="s">
        <v>694</v>
      </c>
      <c r="E18" s="16"/>
      <c r="F18">
        <f>79.3*2.4</f>
        <v>190.32</v>
      </c>
      <c r="G18">
        <v>0</v>
      </c>
      <c r="H18">
        <f>17.5+10.3+2.4+6.6</f>
        <v>36.799999999999997</v>
      </c>
      <c r="I18">
        <f>2*(79.3+2.4)</f>
        <v>163.4</v>
      </c>
      <c r="L18">
        <f>Constants!$B$2</f>
        <v>2.8</v>
      </c>
      <c r="M18">
        <f t="shared" si="0"/>
        <v>0</v>
      </c>
      <c r="N18">
        <f>P18*Constants!$E$2</f>
        <v>62.559999999999995</v>
      </c>
      <c r="P18">
        <f>H18</f>
        <v>36.799999999999997</v>
      </c>
      <c r="Q18">
        <f>P18*Constants!$B$3</f>
        <v>154.55999999999997</v>
      </c>
      <c r="R18">
        <f t="shared" si="2"/>
        <v>91.999999999999972</v>
      </c>
      <c r="S18">
        <f>I18-P18</f>
        <v>126.60000000000001</v>
      </c>
      <c r="T18">
        <f>S18*Constants!$B$2</f>
        <v>354.48</v>
      </c>
      <c r="V18">
        <f t="shared" ref="V18" si="18">IF(B18="E",1,0)</f>
        <v>0</v>
      </c>
      <c r="W18">
        <f t="shared" ref="W18" si="19">IF(B18=10,1,0)</f>
        <v>0</v>
      </c>
      <c r="AA18" s="8"/>
      <c r="AJ18" s="4"/>
    </row>
    <row r="19" spans="1:36" x14ac:dyDescent="0.25">
      <c r="D19" s="15"/>
    </row>
    <row r="20" spans="1:36" x14ac:dyDescent="0.25">
      <c r="D20" s="15"/>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4"/>
    </row>
    <row r="429" spans="4:4" x14ac:dyDescent="0.25">
      <c r="D429" s="14"/>
    </row>
    <row r="430" spans="4:4" x14ac:dyDescent="0.25">
      <c r="D430" s="13"/>
    </row>
    <row r="431" spans="4:4" x14ac:dyDescent="0.25">
      <c r="D431" s="13"/>
    </row>
    <row r="432" spans="4:4" x14ac:dyDescent="0.25">
      <c r="D432" s="13"/>
    </row>
    <row r="433" spans="4:4" x14ac:dyDescent="0.25">
      <c r="D433" s="13"/>
    </row>
    <row r="434" spans="4:4" x14ac:dyDescent="0.25">
      <c r="D434" s="13"/>
    </row>
    <row r="435" spans="4:4" x14ac:dyDescent="0.25">
      <c r="D435" s="13"/>
    </row>
    <row r="436" spans="4:4" x14ac:dyDescent="0.25">
      <c r="D436" s="13"/>
    </row>
    <row r="437" spans="4:4" x14ac:dyDescent="0.25">
      <c r="D437" s="13"/>
    </row>
  </sheetData>
  <phoneticPr fontId="5" type="noConversion"/>
  <pageMargins left="0.7" right="0.7" top="0.78740157499999996" bottom="0.78740157499999996"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33"/>
  <sheetViews>
    <sheetView zoomScaleNormal="100" workbookViewId="0">
      <pane xSplit="4" ySplit="1" topLeftCell="E2" activePane="bottomRight" state="frozen"/>
      <selection pane="topRight" activeCell="F1" sqref="F1"/>
      <selection pane="bottomLeft" activeCell="A2" sqref="A2"/>
      <selection pane="bottomRight" activeCell="D13" sqref="D13"/>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62</v>
      </c>
      <c r="D2" s="16" t="s">
        <v>697</v>
      </c>
      <c r="E2" s="16"/>
      <c r="F2">
        <f>169.12*2.83</f>
        <v>478.6096</v>
      </c>
      <c r="G2">
        <v>0</v>
      </c>
      <c r="H2">
        <f>17.3+23.7+3.1+2.4</f>
        <v>46.5</v>
      </c>
      <c r="I2">
        <f>2*(169.12+2.83)</f>
        <v>343.90000000000003</v>
      </c>
      <c r="L2">
        <f>Constants!$B$2</f>
        <v>2.8</v>
      </c>
      <c r="M2">
        <f t="shared" ref="M2:M19" si="0">IF(N2&gt;0,G2,"N/A")</f>
        <v>0</v>
      </c>
      <c r="N2">
        <f>P2*Constants!$E$2</f>
        <v>79.05</v>
      </c>
      <c r="P2">
        <f>H2</f>
        <v>46.5</v>
      </c>
      <c r="Q2">
        <f>P2*Constants!$B$3</f>
        <v>195.29999999999995</v>
      </c>
      <c r="R2">
        <f>IF(Q2-N2&lt;=0, 0, Q2-N2)</f>
        <v>116.24999999999996</v>
      </c>
      <c r="S2">
        <f>I2-P2</f>
        <v>297.40000000000003</v>
      </c>
      <c r="T2">
        <f>S2*Constants!$B$2</f>
        <v>832.72</v>
      </c>
      <c r="V2">
        <f>IF(B2="E",1,0)</f>
        <v>0</v>
      </c>
      <c r="W2">
        <f>IF(B2=10,1,0)</f>
        <v>0</v>
      </c>
      <c r="AA2" s="8"/>
      <c r="AJ2" s="4"/>
    </row>
    <row r="3" spans="1:40" x14ac:dyDescent="0.25">
      <c r="A3">
        <v>2</v>
      </c>
      <c r="B3">
        <v>7</v>
      </c>
      <c r="C3" t="s">
        <v>67</v>
      </c>
      <c r="D3" s="16" t="s">
        <v>720</v>
      </c>
      <c r="F3">
        <v>30</v>
      </c>
      <c r="G3">
        <v>180</v>
      </c>
      <c r="H3">
        <f>5*1.2</f>
        <v>6</v>
      </c>
      <c r="I3">
        <f>2*1.2*(5.2+4)</f>
        <v>22.08</v>
      </c>
      <c r="L3">
        <f>Constants!$B$2</f>
        <v>2.8</v>
      </c>
      <c r="M3">
        <f t="shared" si="0"/>
        <v>180</v>
      </c>
      <c r="N3">
        <f>P3*Constants!$E$2</f>
        <v>10.199999999999999</v>
      </c>
      <c r="P3">
        <f t="shared" ref="P3:P18" si="1">H3</f>
        <v>6</v>
      </c>
      <c r="Q3">
        <f>P3*Constants!$B$3</f>
        <v>25.199999999999996</v>
      </c>
      <c r="R3">
        <f t="shared" ref="R3:R19" si="2">IF(Q3-N3&lt;=0, 0, Q3-N3)</f>
        <v>14.999999999999996</v>
      </c>
      <c r="S3">
        <f t="shared" ref="S3:S18" si="3">I3-P3</f>
        <v>16.079999999999998</v>
      </c>
      <c r="T3">
        <f>S3*Constants!$B$2</f>
        <v>45.023999999999994</v>
      </c>
      <c r="V3">
        <f t="shared" ref="V3:V19" si="4">IF(B3="E",1,0)</f>
        <v>0</v>
      </c>
      <c r="W3">
        <f t="shared" ref="W3:W19" si="5">IF(B3=10,1,0)</f>
        <v>0</v>
      </c>
      <c r="AA3" s="8"/>
      <c r="AJ3" s="4"/>
    </row>
    <row r="4" spans="1:40" x14ac:dyDescent="0.25">
      <c r="A4">
        <v>3</v>
      </c>
      <c r="B4">
        <v>7</v>
      </c>
      <c r="C4" t="s">
        <v>54</v>
      </c>
      <c r="D4" s="16" t="s">
        <v>721</v>
      </c>
      <c r="F4">
        <v>12.4</v>
      </c>
      <c r="G4" t="s">
        <v>44</v>
      </c>
      <c r="H4">
        <v>0</v>
      </c>
      <c r="I4">
        <f>2*1.2*(2+5)</f>
        <v>16.8</v>
      </c>
      <c r="L4">
        <f>Constants!$B$2</f>
        <v>2.8</v>
      </c>
      <c r="M4" t="str">
        <f t="shared" si="0"/>
        <v>N/A</v>
      </c>
      <c r="N4">
        <f>P4*Constants!$E$2</f>
        <v>0</v>
      </c>
      <c r="P4">
        <f t="shared" si="1"/>
        <v>0</v>
      </c>
      <c r="Q4">
        <f>P4*Constants!$B$3</f>
        <v>0</v>
      </c>
      <c r="R4">
        <f t="shared" si="2"/>
        <v>0</v>
      </c>
      <c r="S4">
        <f t="shared" si="3"/>
        <v>16.8</v>
      </c>
      <c r="T4">
        <f>S4*Constants!$B$2</f>
        <v>47.04</v>
      </c>
      <c r="V4">
        <f t="shared" si="4"/>
        <v>0</v>
      </c>
      <c r="W4">
        <f t="shared" si="5"/>
        <v>0</v>
      </c>
      <c r="AA4" s="8"/>
      <c r="AJ4" s="4"/>
    </row>
    <row r="5" spans="1:40" x14ac:dyDescent="0.25">
      <c r="A5">
        <v>4</v>
      </c>
      <c r="B5">
        <v>7</v>
      </c>
      <c r="C5" t="s">
        <v>66</v>
      </c>
      <c r="D5" s="16" t="s">
        <v>698</v>
      </c>
      <c r="F5">
        <v>10.52</v>
      </c>
      <c r="G5" t="s">
        <v>44</v>
      </c>
      <c r="H5">
        <v>0</v>
      </c>
      <c r="I5">
        <f>2*1.2*(2+4)</f>
        <v>14.399999999999999</v>
      </c>
      <c r="L5">
        <f>Constants!$B$2</f>
        <v>2.8</v>
      </c>
      <c r="M5" t="str">
        <f t="shared" si="0"/>
        <v>N/A</v>
      </c>
      <c r="N5">
        <f>P5*Constants!$E$2</f>
        <v>0</v>
      </c>
      <c r="P5">
        <f t="shared" si="1"/>
        <v>0</v>
      </c>
      <c r="Q5">
        <f>P5*Constants!$B$3</f>
        <v>0</v>
      </c>
      <c r="R5">
        <f t="shared" si="2"/>
        <v>0</v>
      </c>
      <c r="S5">
        <f t="shared" si="3"/>
        <v>14.399999999999999</v>
      </c>
      <c r="T5">
        <f>S5*Constants!$B$2</f>
        <v>40.319999999999993</v>
      </c>
      <c r="V5">
        <f t="shared" si="4"/>
        <v>0</v>
      </c>
      <c r="W5">
        <f t="shared" si="5"/>
        <v>0</v>
      </c>
      <c r="AA5" s="8"/>
      <c r="AJ5" s="4"/>
    </row>
    <row r="6" spans="1:40" x14ac:dyDescent="0.25">
      <c r="A6">
        <v>5</v>
      </c>
      <c r="B6">
        <v>7</v>
      </c>
      <c r="C6" t="s">
        <v>67</v>
      </c>
      <c r="D6" s="16" t="s">
        <v>699</v>
      </c>
      <c r="F6">
        <v>28.25</v>
      </c>
      <c r="G6">
        <v>180</v>
      </c>
      <c r="H6">
        <f>1.2*2.5</f>
        <v>3</v>
      </c>
      <c r="I6">
        <f>2*1.2*(4.5+5)</f>
        <v>22.8</v>
      </c>
      <c r="L6">
        <f>Constants!$B$2</f>
        <v>2.8</v>
      </c>
      <c r="M6">
        <f t="shared" si="0"/>
        <v>180</v>
      </c>
      <c r="N6">
        <f>P6*Constants!$E$2</f>
        <v>5.0999999999999996</v>
      </c>
      <c r="P6">
        <f t="shared" si="1"/>
        <v>3</v>
      </c>
      <c r="Q6">
        <f>P6*Constants!$B$3</f>
        <v>12.599999999999998</v>
      </c>
      <c r="R6">
        <f t="shared" si="2"/>
        <v>7.4999999999999982</v>
      </c>
      <c r="S6">
        <f t="shared" si="3"/>
        <v>19.8</v>
      </c>
      <c r="T6">
        <f>S6*Constants!$B$2</f>
        <v>55.44</v>
      </c>
      <c r="V6">
        <f t="shared" si="4"/>
        <v>0</v>
      </c>
      <c r="W6">
        <f t="shared" si="5"/>
        <v>0</v>
      </c>
      <c r="AA6" s="8"/>
      <c r="AJ6" s="4"/>
    </row>
    <row r="7" spans="1:40" x14ac:dyDescent="0.25">
      <c r="A7">
        <v>6</v>
      </c>
      <c r="B7">
        <v>7</v>
      </c>
      <c r="C7" t="s">
        <v>54</v>
      </c>
      <c r="D7" s="16" t="s">
        <v>700</v>
      </c>
      <c r="F7">
        <v>15.95</v>
      </c>
      <c r="G7">
        <v>180</v>
      </c>
      <c r="H7">
        <f>3*1.2</f>
        <v>3.5999999999999996</v>
      </c>
      <c r="I7">
        <f>2*1.2*(4+3)</f>
        <v>16.8</v>
      </c>
      <c r="L7">
        <f>Constants!$B$2</f>
        <v>2.8</v>
      </c>
      <c r="M7">
        <f t="shared" si="0"/>
        <v>180</v>
      </c>
      <c r="N7">
        <f>P7*Constants!$E$2</f>
        <v>6.1199999999999992</v>
      </c>
      <c r="P7">
        <f t="shared" si="1"/>
        <v>3.5999999999999996</v>
      </c>
      <c r="Q7">
        <f>P7*Constants!$B$3</f>
        <v>15.119999999999996</v>
      </c>
      <c r="R7">
        <f t="shared" si="2"/>
        <v>8.9999999999999964</v>
      </c>
      <c r="S7">
        <f t="shared" si="3"/>
        <v>13.200000000000001</v>
      </c>
      <c r="T7">
        <f>S7*Constants!$B$2</f>
        <v>36.96</v>
      </c>
      <c r="V7">
        <f t="shared" si="4"/>
        <v>0</v>
      </c>
      <c r="W7">
        <f t="shared" si="5"/>
        <v>0</v>
      </c>
      <c r="AA7" s="8"/>
      <c r="AJ7" s="4"/>
    </row>
    <row r="8" spans="1:40" x14ac:dyDescent="0.25">
      <c r="A8">
        <v>7</v>
      </c>
      <c r="B8">
        <v>7</v>
      </c>
      <c r="C8" t="s">
        <v>64</v>
      </c>
      <c r="D8" s="16" t="s">
        <v>701</v>
      </c>
      <c r="E8" s="16"/>
      <c r="F8">
        <v>4.6399999999999997</v>
      </c>
      <c r="G8" t="s">
        <v>44</v>
      </c>
      <c r="H8">
        <v>0</v>
      </c>
      <c r="I8">
        <f>2*1.2*(1.5+2.5)</f>
        <v>9.6</v>
      </c>
      <c r="L8">
        <f>Constants!$B$2</f>
        <v>2.8</v>
      </c>
      <c r="M8" t="str">
        <f t="shared" si="0"/>
        <v>N/A</v>
      </c>
      <c r="N8">
        <f>P8*Constants!$E$2</f>
        <v>0</v>
      </c>
      <c r="P8">
        <f t="shared" si="1"/>
        <v>0</v>
      </c>
      <c r="Q8">
        <f>P8*Constants!$B$3</f>
        <v>0</v>
      </c>
      <c r="R8">
        <f t="shared" si="2"/>
        <v>0</v>
      </c>
      <c r="S8">
        <f t="shared" si="3"/>
        <v>9.6</v>
      </c>
      <c r="T8">
        <f>S8*Constants!$B$2</f>
        <v>26.88</v>
      </c>
      <c r="V8">
        <f t="shared" si="4"/>
        <v>0</v>
      </c>
      <c r="W8">
        <f t="shared" si="5"/>
        <v>0</v>
      </c>
      <c r="AA8" s="8"/>
      <c r="AJ8" s="4"/>
    </row>
    <row r="9" spans="1:40" x14ac:dyDescent="0.25">
      <c r="A9">
        <v>8</v>
      </c>
      <c r="B9">
        <v>7</v>
      </c>
      <c r="C9" t="s">
        <v>64</v>
      </c>
      <c r="D9" s="16" t="s">
        <v>705</v>
      </c>
      <c r="E9" s="16"/>
      <c r="F9">
        <v>4.6399999999999997</v>
      </c>
      <c r="G9" t="s">
        <v>44</v>
      </c>
      <c r="H9">
        <v>0</v>
      </c>
      <c r="I9">
        <f>2*1.2*(1.5+2.5)</f>
        <v>9.6</v>
      </c>
      <c r="L9">
        <f>Constants!$B$2</f>
        <v>2.8</v>
      </c>
      <c r="M9" t="str">
        <f t="shared" si="0"/>
        <v>N/A</v>
      </c>
      <c r="N9">
        <f>P9*Constants!$E$2</f>
        <v>0</v>
      </c>
      <c r="P9">
        <f t="shared" si="1"/>
        <v>0</v>
      </c>
      <c r="Q9">
        <f>P9*Constants!$B$3</f>
        <v>0</v>
      </c>
      <c r="R9">
        <f t="shared" si="2"/>
        <v>0</v>
      </c>
      <c r="S9">
        <f t="shared" si="3"/>
        <v>9.6</v>
      </c>
      <c r="T9">
        <f>S9*Constants!$B$2</f>
        <v>26.88</v>
      </c>
      <c r="V9">
        <f t="shared" si="4"/>
        <v>0</v>
      </c>
      <c r="W9">
        <f t="shared" si="5"/>
        <v>0</v>
      </c>
      <c r="AA9" s="8"/>
      <c r="AJ9" s="4"/>
    </row>
    <row r="10" spans="1:40" x14ac:dyDescent="0.25">
      <c r="A10">
        <v>9</v>
      </c>
      <c r="B10">
        <v>7</v>
      </c>
      <c r="C10" t="s">
        <v>62</v>
      </c>
      <c r="D10" s="16" t="s">
        <v>702</v>
      </c>
      <c r="F10">
        <v>20.57</v>
      </c>
      <c r="G10">
        <v>180</v>
      </c>
      <c r="H10">
        <v>4</v>
      </c>
      <c r="I10">
        <f>2*(5.6+4)</f>
        <v>19.2</v>
      </c>
      <c r="L10">
        <f>Constants!$B$2</f>
        <v>2.8</v>
      </c>
      <c r="M10">
        <f t="shared" si="0"/>
        <v>180</v>
      </c>
      <c r="N10">
        <f>P10*Constants!$E$2</f>
        <v>6.8</v>
      </c>
      <c r="P10">
        <f t="shared" si="1"/>
        <v>4</v>
      </c>
      <c r="Q10">
        <f>P10*Constants!$B$3</f>
        <v>16.799999999999997</v>
      </c>
      <c r="R10">
        <f t="shared" si="2"/>
        <v>9.9999999999999964</v>
      </c>
      <c r="S10">
        <f t="shared" si="3"/>
        <v>15.2</v>
      </c>
      <c r="T10">
        <f>S10*Constants!$B$2</f>
        <v>42.559999999999995</v>
      </c>
      <c r="V10">
        <f t="shared" si="4"/>
        <v>0</v>
      </c>
      <c r="W10">
        <f t="shared" si="5"/>
        <v>0</v>
      </c>
      <c r="AA10" s="8"/>
      <c r="AJ10" s="4"/>
    </row>
    <row r="11" spans="1:40" x14ac:dyDescent="0.25">
      <c r="A11">
        <v>10</v>
      </c>
      <c r="B11">
        <v>7</v>
      </c>
      <c r="C11" t="s">
        <v>55</v>
      </c>
      <c r="D11" s="16" t="s">
        <v>722</v>
      </c>
      <c r="E11" s="16"/>
      <c r="F11">
        <v>1.51</v>
      </c>
      <c r="G11" t="s">
        <v>44</v>
      </c>
      <c r="H11">
        <v>0</v>
      </c>
      <c r="I11">
        <f>2*1.2*(1+1.3)</f>
        <v>5.52</v>
      </c>
      <c r="L11">
        <f>Constants!$B$2</f>
        <v>2.8</v>
      </c>
      <c r="M11" t="str">
        <f t="shared" ref="M11" si="6">IF(N11&gt;0,G11,"N/A")</f>
        <v>N/A</v>
      </c>
      <c r="N11">
        <f>P11*Constants!$E$2</f>
        <v>0</v>
      </c>
      <c r="P11">
        <f t="shared" ref="P11" si="7">H11</f>
        <v>0</v>
      </c>
      <c r="Q11">
        <f>P11*Constants!$B$3</f>
        <v>0</v>
      </c>
      <c r="R11">
        <f t="shared" ref="R11" si="8">IF(Q11-N11&lt;=0, 0, Q11-N11)</f>
        <v>0</v>
      </c>
      <c r="S11">
        <f t="shared" ref="S11" si="9">I11-P11</f>
        <v>5.52</v>
      </c>
      <c r="T11">
        <f>S11*Constants!$B$2</f>
        <v>15.455999999999998</v>
      </c>
      <c r="V11">
        <f t="shared" ref="V11" si="10">IF(B11="E",1,0)</f>
        <v>0</v>
      </c>
      <c r="W11">
        <f t="shared" ref="W11" si="11">IF(B11=10,1,0)</f>
        <v>0</v>
      </c>
      <c r="AA11" s="8"/>
      <c r="AJ11" s="4"/>
    </row>
    <row r="12" spans="1:40" x14ac:dyDescent="0.25">
      <c r="A12">
        <v>11</v>
      </c>
      <c r="B12">
        <v>7</v>
      </c>
      <c r="C12" t="s">
        <v>74</v>
      </c>
      <c r="D12" s="16" t="s">
        <v>703</v>
      </c>
      <c r="F12">
        <v>23.25</v>
      </c>
      <c r="G12">
        <v>180</v>
      </c>
      <c r="H12">
        <f>1.2*4.5</f>
        <v>5.3999999999999995</v>
      </c>
      <c r="I12">
        <f>2*1.2*(4+4.5)</f>
        <v>20.399999999999999</v>
      </c>
      <c r="L12">
        <f>Constants!$B$2</f>
        <v>2.8</v>
      </c>
      <c r="M12">
        <f t="shared" si="0"/>
        <v>180</v>
      </c>
      <c r="N12">
        <f>P12*Constants!$E$2</f>
        <v>9.18</v>
      </c>
      <c r="P12">
        <f t="shared" si="1"/>
        <v>5.3999999999999995</v>
      </c>
      <c r="Q12">
        <f>P12*Constants!$B$3</f>
        <v>22.679999999999993</v>
      </c>
      <c r="R12">
        <f t="shared" si="2"/>
        <v>13.499999999999993</v>
      </c>
      <c r="S12">
        <f t="shared" si="3"/>
        <v>15</v>
      </c>
      <c r="T12">
        <f>S12*Constants!$B$2</f>
        <v>42</v>
      </c>
      <c r="V12">
        <f t="shared" si="4"/>
        <v>0</v>
      </c>
      <c r="W12">
        <f t="shared" si="5"/>
        <v>0</v>
      </c>
      <c r="AA12" s="8"/>
      <c r="AJ12" s="4"/>
    </row>
    <row r="13" spans="1:40" x14ac:dyDescent="0.25">
      <c r="A13">
        <v>12</v>
      </c>
      <c r="B13">
        <v>7</v>
      </c>
      <c r="C13" t="s">
        <v>74</v>
      </c>
      <c r="D13" s="16" t="s">
        <v>723</v>
      </c>
      <c r="F13">
        <v>24.17</v>
      </c>
      <c r="G13" t="s">
        <v>44</v>
      </c>
      <c r="H13">
        <v>0</v>
      </c>
      <c r="I13">
        <f>2*1.2*(5+5)</f>
        <v>24</v>
      </c>
      <c r="L13">
        <f>Constants!$B$2</f>
        <v>2.8</v>
      </c>
      <c r="M13" t="str">
        <f t="shared" si="0"/>
        <v>N/A</v>
      </c>
      <c r="N13">
        <f>P13*Constants!$E$2</f>
        <v>0</v>
      </c>
      <c r="P13">
        <f t="shared" si="1"/>
        <v>0</v>
      </c>
      <c r="Q13">
        <f>P13*Constants!$B$3</f>
        <v>0</v>
      </c>
      <c r="R13">
        <f t="shared" si="2"/>
        <v>0</v>
      </c>
      <c r="S13">
        <f t="shared" si="3"/>
        <v>24</v>
      </c>
      <c r="T13">
        <f>S13*Constants!$B$2</f>
        <v>67.199999999999989</v>
      </c>
      <c r="V13">
        <f t="shared" si="4"/>
        <v>0</v>
      </c>
      <c r="W13">
        <f t="shared" si="5"/>
        <v>0</v>
      </c>
      <c r="AA13" s="8"/>
      <c r="AJ13" s="4"/>
    </row>
    <row r="14" spans="1:40" x14ac:dyDescent="0.25">
      <c r="A14">
        <v>13</v>
      </c>
      <c r="B14">
        <v>7</v>
      </c>
      <c r="C14" t="s">
        <v>55</v>
      </c>
      <c r="D14" s="16" t="s">
        <v>704</v>
      </c>
      <c r="F14">
        <v>5.27</v>
      </c>
      <c r="G14" t="s">
        <v>44</v>
      </c>
      <c r="H14">
        <v>0</v>
      </c>
      <c r="I14">
        <f>8*1.2</f>
        <v>9.6</v>
      </c>
      <c r="L14">
        <f>Constants!$B$2</f>
        <v>2.8</v>
      </c>
      <c r="M14" t="str">
        <f t="shared" ref="M14:M15" si="12">IF(N14&gt;0,G14,"N/A")</f>
        <v>N/A</v>
      </c>
      <c r="N14">
        <f>P14*Constants!$E$2</f>
        <v>0</v>
      </c>
      <c r="P14">
        <f t="shared" ref="P14:P15" si="13">H14</f>
        <v>0</v>
      </c>
      <c r="Q14">
        <f>P14*Constants!$B$3</f>
        <v>0</v>
      </c>
      <c r="R14">
        <f t="shared" ref="R14:R15" si="14">IF(Q14-N14&lt;=0, 0, Q14-N14)</f>
        <v>0</v>
      </c>
      <c r="S14">
        <f t="shared" ref="S14:S15" si="15">I14-P14</f>
        <v>9.6</v>
      </c>
      <c r="T14">
        <f>S14*Constants!$B$2</f>
        <v>26.88</v>
      </c>
      <c r="V14">
        <f t="shared" ref="V14:V15" si="16">IF(B14="E",1,0)</f>
        <v>0</v>
      </c>
      <c r="W14">
        <f t="shared" ref="W14:W15" si="17">IF(B14=10,1,0)</f>
        <v>0</v>
      </c>
      <c r="AA14" s="8"/>
      <c r="AJ14" s="4"/>
    </row>
    <row r="15" spans="1:40" x14ac:dyDescent="0.25">
      <c r="A15">
        <v>14</v>
      </c>
      <c r="B15">
        <v>7</v>
      </c>
      <c r="C15" t="s">
        <v>55</v>
      </c>
      <c r="D15" s="16" t="s">
        <v>724</v>
      </c>
      <c r="F15">
        <v>1.51</v>
      </c>
      <c r="G15" t="s">
        <v>44</v>
      </c>
      <c r="H15">
        <v>0</v>
      </c>
      <c r="I15">
        <f>2*1.2*(1+1.3)</f>
        <v>5.52</v>
      </c>
      <c r="L15">
        <f>Constants!$B$2</f>
        <v>2.8</v>
      </c>
      <c r="M15" t="str">
        <f t="shared" si="12"/>
        <v>N/A</v>
      </c>
      <c r="N15">
        <f>P15*Constants!$E$2</f>
        <v>0</v>
      </c>
      <c r="P15">
        <f t="shared" si="13"/>
        <v>0</v>
      </c>
      <c r="Q15">
        <f>P15*Constants!$B$3</f>
        <v>0</v>
      </c>
      <c r="R15">
        <f t="shared" si="14"/>
        <v>0</v>
      </c>
      <c r="S15">
        <f t="shared" si="15"/>
        <v>5.52</v>
      </c>
      <c r="T15">
        <f>S15*Constants!$B$2</f>
        <v>15.455999999999998</v>
      </c>
      <c r="V15">
        <f t="shared" si="16"/>
        <v>0</v>
      </c>
      <c r="W15">
        <f t="shared" si="17"/>
        <v>0</v>
      </c>
      <c r="AA15" s="8"/>
      <c r="AJ15" s="4"/>
    </row>
    <row r="16" spans="1:40" x14ac:dyDescent="0.25">
      <c r="A16">
        <v>15</v>
      </c>
      <c r="B16">
        <v>7</v>
      </c>
      <c r="C16" t="s">
        <v>59</v>
      </c>
      <c r="D16" s="16" t="s">
        <v>725</v>
      </c>
      <c r="E16" s="16"/>
      <c r="F16">
        <v>30</v>
      </c>
      <c r="G16">
        <v>180</v>
      </c>
      <c r="H16">
        <f>5*1.2</f>
        <v>6</v>
      </c>
      <c r="I16">
        <f>2*1.2*(4+5.1)</f>
        <v>21.84</v>
      </c>
      <c r="L16">
        <f>Constants!$B$2</f>
        <v>2.8</v>
      </c>
      <c r="M16">
        <f t="shared" si="0"/>
        <v>180</v>
      </c>
      <c r="N16">
        <f>P16*Constants!$E$2</f>
        <v>10.199999999999999</v>
      </c>
      <c r="P16">
        <f t="shared" si="1"/>
        <v>6</v>
      </c>
      <c r="Q16">
        <f>P16*Constants!$B$3</f>
        <v>25.199999999999996</v>
      </c>
      <c r="R16">
        <f t="shared" si="2"/>
        <v>14.999999999999996</v>
      </c>
      <c r="S16">
        <f t="shared" si="3"/>
        <v>15.84</v>
      </c>
      <c r="T16">
        <f>S16*Constants!$B$2</f>
        <v>44.351999999999997</v>
      </c>
      <c r="V16">
        <f t="shared" si="4"/>
        <v>0</v>
      </c>
      <c r="W16">
        <f t="shared" si="5"/>
        <v>0</v>
      </c>
      <c r="AA16" s="8"/>
      <c r="AJ16" s="4"/>
    </row>
    <row r="17" spans="1:36" x14ac:dyDescent="0.25">
      <c r="A17">
        <v>16</v>
      </c>
      <c r="B17">
        <v>7</v>
      </c>
      <c r="C17" t="s">
        <v>59</v>
      </c>
      <c r="D17" s="16" t="s">
        <v>707</v>
      </c>
      <c r="E17" s="16"/>
      <c r="F17">
        <v>43.11</v>
      </c>
      <c r="G17">
        <v>180</v>
      </c>
      <c r="H17">
        <f>1.2*5.1</f>
        <v>6.1199999999999992</v>
      </c>
      <c r="I17">
        <f>2*1.2*(5+7.1)</f>
        <v>29.04</v>
      </c>
      <c r="L17">
        <f>Constants!$B$2</f>
        <v>2.8</v>
      </c>
      <c r="M17">
        <f t="shared" si="0"/>
        <v>180</v>
      </c>
      <c r="N17">
        <f>P17*Constants!$E$2</f>
        <v>10.403999999999998</v>
      </c>
      <c r="P17">
        <f t="shared" si="1"/>
        <v>6.1199999999999992</v>
      </c>
      <c r="Q17">
        <f>P17*Constants!$B$3</f>
        <v>25.703999999999994</v>
      </c>
      <c r="R17">
        <f t="shared" si="2"/>
        <v>15.299999999999995</v>
      </c>
      <c r="S17">
        <f t="shared" si="3"/>
        <v>22.92</v>
      </c>
      <c r="T17">
        <f>S17*Constants!$B$2</f>
        <v>64.176000000000002</v>
      </c>
      <c r="V17">
        <f t="shared" si="4"/>
        <v>0</v>
      </c>
      <c r="W17">
        <f t="shared" si="5"/>
        <v>0</v>
      </c>
      <c r="AA17" s="8"/>
      <c r="AJ17" s="4"/>
    </row>
    <row r="18" spans="1:36" x14ac:dyDescent="0.25">
      <c r="A18">
        <v>17</v>
      </c>
      <c r="B18">
        <v>7</v>
      </c>
      <c r="C18" t="s">
        <v>45</v>
      </c>
      <c r="D18" s="16" t="s">
        <v>708</v>
      </c>
      <c r="F18">
        <v>13.23</v>
      </c>
      <c r="G18" t="s">
        <v>44</v>
      </c>
      <c r="H18">
        <v>0</v>
      </c>
      <c r="I18">
        <f>2*1.2*(2+5)</f>
        <v>16.8</v>
      </c>
      <c r="L18">
        <f>Constants!$B$2</f>
        <v>2.8</v>
      </c>
      <c r="M18" t="str">
        <f t="shared" si="0"/>
        <v>N/A</v>
      </c>
      <c r="N18">
        <f>P18*Constants!$E$2</f>
        <v>0</v>
      </c>
      <c r="P18">
        <f t="shared" si="1"/>
        <v>0</v>
      </c>
      <c r="Q18">
        <f>P18*Constants!$B$3</f>
        <v>0</v>
      </c>
      <c r="R18">
        <f t="shared" si="2"/>
        <v>0</v>
      </c>
      <c r="S18">
        <f t="shared" si="3"/>
        <v>16.8</v>
      </c>
      <c r="T18">
        <f>S18*Constants!$B$2</f>
        <v>47.04</v>
      </c>
      <c r="V18">
        <f t="shared" si="4"/>
        <v>0</v>
      </c>
      <c r="W18">
        <f t="shared" si="5"/>
        <v>0</v>
      </c>
      <c r="AA18" s="8"/>
      <c r="AJ18" s="4"/>
    </row>
    <row r="19" spans="1:36" x14ac:dyDescent="0.25">
      <c r="A19">
        <v>18</v>
      </c>
      <c r="B19">
        <v>7</v>
      </c>
      <c r="C19" t="s">
        <v>55</v>
      </c>
      <c r="D19" s="16" t="s">
        <v>709</v>
      </c>
      <c r="E19" s="16"/>
      <c r="F19">
        <v>28.23</v>
      </c>
      <c r="G19">
        <v>180</v>
      </c>
      <c r="H19">
        <v>3</v>
      </c>
      <c r="I19">
        <f>2*1.2*(5+4.5)</f>
        <v>22.8</v>
      </c>
      <c r="L19">
        <f>Constants!$B$2</f>
        <v>2.8</v>
      </c>
      <c r="M19">
        <f t="shared" si="0"/>
        <v>180</v>
      </c>
      <c r="N19">
        <f>P19*Constants!$E$2</f>
        <v>5.0999999999999996</v>
      </c>
      <c r="P19">
        <f>H19</f>
        <v>3</v>
      </c>
      <c r="Q19">
        <f>P19*Constants!$B$3</f>
        <v>12.599999999999998</v>
      </c>
      <c r="R19">
        <f t="shared" si="2"/>
        <v>7.4999999999999982</v>
      </c>
      <c r="S19">
        <f>I19-P19</f>
        <v>19.8</v>
      </c>
      <c r="T19">
        <f>S19*Constants!$B$2</f>
        <v>55.44</v>
      </c>
      <c r="V19">
        <f t="shared" si="4"/>
        <v>0</v>
      </c>
      <c r="W19">
        <f t="shared" si="5"/>
        <v>0</v>
      </c>
      <c r="AA19" s="8"/>
      <c r="AJ19" s="4"/>
    </row>
    <row r="20" spans="1:36" x14ac:dyDescent="0.25">
      <c r="A20">
        <v>19</v>
      </c>
      <c r="B20">
        <v>7</v>
      </c>
      <c r="C20" t="s">
        <v>62</v>
      </c>
      <c r="D20" s="16" t="s">
        <v>706</v>
      </c>
      <c r="E20" s="16"/>
      <c r="F20">
        <v>20.57</v>
      </c>
      <c r="G20">
        <v>180</v>
      </c>
      <c r="H20">
        <v>4</v>
      </c>
      <c r="I20">
        <f>2*(5.6+4)</f>
        <v>19.2</v>
      </c>
      <c r="L20">
        <f>Constants!$B$2</f>
        <v>2.8</v>
      </c>
      <c r="M20">
        <f t="shared" ref="M20:M27" si="18">IF(N20&gt;0,G20,"N/A")</f>
        <v>180</v>
      </c>
      <c r="N20">
        <f>P20*Constants!$E$2</f>
        <v>6.8</v>
      </c>
      <c r="P20">
        <f t="shared" ref="P20:P27" si="19">H20</f>
        <v>4</v>
      </c>
      <c r="Q20">
        <f>P20*Constants!$B$3</f>
        <v>16.799999999999997</v>
      </c>
      <c r="R20">
        <f t="shared" ref="R20:R27" si="20">IF(Q20-N20&lt;=0, 0, Q20-N20)</f>
        <v>9.9999999999999964</v>
      </c>
      <c r="S20">
        <f t="shared" ref="S20:S27" si="21">I20-P20</f>
        <v>15.2</v>
      </c>
      <c r="T20">
        <f>S20*Constants!$B$2</f>
        <v>42.559999999999995</v>
      </c>
      <c r="V20">
        <f t="shared" ref="V20:V27" si="22">IF(B20="E",1,0)</f>
        <v>0</v>
      </c>
      <c r="W20">
        <f t="shared" ref="W20:W27" si="23">IF(B20=10,1,0)</f>
        <v>0</v>
      </c>
      <c r="AA20" s="8"/>
      <c r="AJ20" s="4"/>
    </row>
    <row r="21" spans="1:36" x14ac:dyDescent="0.25">
      <c r="A21">
        <v>20</v>
      </c>
      <c r="B21">
        <v>7</v>
      </c>
      <c r="C21" t="s">
        <v>54</v>
      </c>
      <c r="D21" s="16" t="s">
        <v>710</v>
      </c>
      <c r="F21">
        <v>15.95</v>
      </c>
      <c r="G21">
        <v>180</v>
      </c>
      <c r="H21">
        <v>3</v>
      </c>
      <c r="I21">
        <f>2*1.2*(3+4)</f>
        <v>16.8</v>
      </c>
      <c r="L21">
        <f>Constants!$B$2</f>
        <v>2.8</v>
      </c>
      <c r="M21">
        <f t="shared" si="18"/>
        <v>180</v>
      </c>
      <c r="N21">
        <f>P21*Constants!$E$2</f>
        <v>5.0999999999999996</v>
      </c>
      <c r="P21">
        <f t="shared" si="19"/>
        <v>3</v>
      </c>
      <c r="Q21">
        <f>P21*Constants!$B$3</f>
        <v>12.599999999999998</v>
      </c>
      <c r="R21">
        <f t="shared" si="20"/>
        <v>7.4999999999999982</v>
      </c>
      <c r="S21">
        <f t="shared" si="21"/>
        <v>13.8</v>
      </c>
      <c r="T21">
        <f>S21*Constants!$B$2</f>
        <v>38.64</v>
      </c>
      <c r="V21">
        <f t="shared" si="22"/>
        <v>0</v>
      </c>
      <c r="W21">
        <f t="shared" si="23"/>
        <v>0</v>
      </c>
      <c r="AA21" s="8"/>
      <c r="AJ21" s="4"/>
    </row>
    <row r="22" spans="1:36" x14ac:dyDescent="0.25">
      <c r="A22">
        <v>21</v>
      </c>
      <c r="B22">
        <v>7</v>
      </c>
      <c r="C22" t="s">
        <v>74</v>
      </c>
      <c r="D22" s="16" t="s">
        <v>711</v>
      </c>
      <c r="F22">
        <v>23.1</v>
      </c>
      <c r="G22">
        <v>180</v>
      </c>
      <c r="H22">
        <v>4.8</v>
      </c>
      <c r="I22">
        <f>2*1.2*(4.2+4)</f>
        <v>19.679999999999996</v>
      </c>
      <c r="L22">
        <f>Constants!$B$2</f>
        <v>2.8</v>
      </c>
      <c r="M22">
        <f t="shared" si="18"/>
        <v>180</v>
      </c>
      <c r="N22">
        <f>P22*Constants!$E$2</f>
        <v>8.16</v>
      </c>
      <c r="P22">
        <f t="shared" si="19"/>
        <v>4.8</v>
      </c>
      <c r="Q22">
        <f>P22*Constants!$B$3</f>
        <v>20.159999999999997</v>
      </c>
      <c r="R22">
        <f t="shared" si="20"/>
        <v>11.999999999999996</v>
      </c>
      <c r="S22">
        <f t="shared" si="21"/>
        <v>14.879999999999995</v>
      </c>
      <c r="T22">
        <f>S22*Constants!$B$2</f>
        <v>41.663999999999987</v>
      </c>
      <c r="V22">
        <f t="shared" si="22"/>
        <v>0</v>
      </c>
      <c r="W22">
        <f t="shared" si="23"/>
        <v>0</v>
      </c>
      <c r="AA22" s="8"/>
      <c r="AJ22" s="4"/>
    </row>
    <row r="23" spans="1:36" x14ac:dyDescent="0.25">
      <c r="A23">
        <v>22</v>
      </c>
      <c r="B23">
        <v>7</v>
      </c>
      <c r="C23" t="s">
        <v>74</v>
      </c>
      <c r="D23" s="16" t="s">
        <v>713</v>
      </c>
      <c r="E23" s="16"/>
      <c r="F23">
        <v>29.96</v>
      </c>
      <c r="G23" t="s">
        <v>44</v>
      </c>
      <c r="H23">
        <v>0</v>
      </c>
      <c r="I23">
        <f>2*1.2*(5+5)</f>
        <v>24</v>
      </c>
      <c r="L23">
        <f>Constants!$B$2</f>
        <v>2.8</v>
      </c>
      <c r="M23" t="str">
        <f t="shared" si="18"/>
        <v>N/A</v>
      </c>
      <c r="N23">
        <f>P23*Constants!$E$2</f>
        <v>0</v>
      </c>
      <c r="P23">
        <f t="shared" si="19"/>
        <v>0</v>
      </c>
      <c r="Q23">
        <f>P23*Constants!$B$3</f>
        <v>0</v>
      </c>
      <c r="R23">
        <f t="shared" si="20"/>
        <v>0</v>
      </c>
      <c r="S23">
        <f t="shared" si="21"/>
        <v>24</v>
      </c>
      <c r="T23">
        <f>S23*Constants!$B$2</f>
        <v>67.199999999999989</v>
      </c>
      <c r="V23">
        <f t="shared" si="22"/>
        <v>0</v>
      </c>
      <c r="W23">
        <f t="shared" si="23"/>
        <v>0</v>
      </c>
      <c r="AA23" s="8"/>
      <c r="AJ23" s="4"/>
    </row>
    <row r="24" spans="1:36" x14ac:dyDescent="0.25">
      <c r="A24">
        <v>23</v>
      </c>
      <c r="B24">
        <v>7</v>
      </c>
      <c r="C24" t="s">
        <v>64</v>
      </c>
      <c r="D24" s="16" t="s">
        <v>717</v>
      </c>
      <c r="E24" s="16"/>
      <c r="F24">
        <v>2.93</v>
      </c>
      <c r="G24" t="s">
        <v>44</v>
      </c>
      <c r="H24">
        <v>0</v>
      </c>
      <c r="I24">
        <f>2*1.2*(1+2.5)</f>
        <v>8.4</v>
      </c>
      <c r="L24">
        <f>Constants!$B$2</f>
        <v>2.8</v>
      </c>
      <c r="M24" t="str">
        <f t="shared" si="18"/>
        <v>N/A</v>
      </c>
      <c r="N24">
        <f>P24*Constants!$E$2</f>
        <v>0</v>
      </c>
      <c r="P24">
        <f t="shared" si="19"/>
        <v>0</v>
      </c>
      <c r="Q24">
        <f>P24*Constants!$B$3</f>
        <v>0</v>
      </c>
      <c r="R24">
        <f t="shared" si="20"/>
        <v>0</v>
      </c>
      <c r="S24">
        <f t="shared" si="21"/>
        <v>8.4</v>
      </c>
      <c r="T24">
        <f>S24*Constants!$B$2</f>
        <v>23.52</v>
      </c>
      <c r="V24">
        <f t="shared" si="22"/>
        <v>0</v>
      </c>
      <c r="W24">
        <f t="shared" si="23"/>
        <v>0</v>
      </c>
      <c r="AA24" s="8"/>
      <c r="AJ24" s="4"/>
    </row>
    <row r="25" spans="1:36" x14ac:dyDescent="0.25">
      <c r="A25">
        <v>24</v>
      </c>
      <c r="B25">
        <v>7</v>
      </c>
      <c r="C25" t="s">
        <v>64</v>
      </c>
      <c r="D25" s="16" t="s">
        <v>718</v>
      </c>
      <c r="F25">
        <v>2.93</v>
      </c>
      <c r="G25" t="s">
        <v>44</v>
      </c>
      <c r="H25">
        <v>0</v>
      </c>
      <c r="I25">
        <f>2*1.2*(1+2.5)</f>
        <v>8.4</v>
      </c>
      <c r="L25">
        <f>Constants!$B$2</f>
        <v>2.8</v>
      </c>
      <c r="M25" t="str">
        <f t="shared" si="18"/>
        <v>N/A</v>
      </c>
      <c r="N25">
        <f>P25*Constants!$E$2</f>
        <v>0</v>
      </c>
      <c r="P25">
        <f t="shared" si="19"/>
        <v>0</v>
      </c>
      <c r="Q25">
        <f>P25*Constants!$B$3</f>
        <v>0</v>
      </c>
      <c r="R25">
        <f t="shared" si="20"/>
        <v>0</v>
      </c>
      <c r="S25">
        <f t="shared" si="21"/>
        <v>8.4</v>
      </c>
      <c r="T25">
        <f>S25*Constants!$B$2</f>
        <v>23.52</v>
      </c>
      <c r="V25">
        <f t="shared" si="22"/>
        <v>0</v>
      </c>
      <c r="W25">
        <f t="shared" si="23"/>
        <v>0</v>
      </c>
      <c r="AA25" s="8"/>
      <c r="AJ25" s="4"/>
    </row>
    <row r="26" spans="1:36" x14ac:dyDescent="0.25">
      <c r="A26">
        <v>25</v>
      </c>
      <c r="B26">
        <v>7</v>
      </c>
      <c r="C26" t="s">
        <v>62</v>
      </c>
      <c r="D26" s="16" t="s">
        <v>712</v>
      </c>
      <c r="F26">
        <v>20.57</v>
      </c>
      <c r="G26">
        <v>180</v>
      </c>
      <c r="H26">
        <v>4</v>
      </c>
      <c r="I26">
        <f>2*(5.6+4)</f>
        <v>19.2</v>
      </c>
      <c r="L26">
        <f>Constants!$B$2</f>
        <v>2.8</v>
      </c>
      <c r="M26">
        <f t="shared" si="18"/>
        <v>180</v>
      </c>
      <c r="N26">
        <f>P26*Constants!$E$2</f>
        <v>6.8</v>
      </c>
      <c r="P26">
        <f t="shared" si="19"/>
        <v>4</v>
      </c>
      <c r="Q26">
        <f>P26*Constants!$B$3</f>
        <v>16.799999999999997</v>
      </c>
      <c r="R26">
        <f t="shared" si="20"/>
        <v>9.9999999999999964</v>
      </c>
      <c r="S26">
        <f t="shared" si="21"/>
        <v>15.2</v>
      </c>
      <c r="T26">
        <f>S26*Constants!$B$2</f>
        <v>42.559999999999995</v>
      </c>
      <c r="V26">
        <f t="shared" si="22"/>
        <v>0</v>
      </c>
      <c r="W26">
        <f t="shared" si="23"/>
        <v>0</v>
      </c>
      <c r="AA26" s="8"/>
      <c r="AJ26" s="4"/>
    </row>
    <row r="27" spans="1:36" x14ac:dyDescent="0.25">
      <c r="A27">
        <v>26</v>
      </c>
      <c r="B27">
        <v>7</v>
      </c>
      <c r="C27" t="s">
        <v>67</v>
      </c>
      <c r="D27" s="16" t="s">
        <v>714</v>
      </c>
      <c r="E27" s="16"/>
      <c r="F27">
        <v>22.85</v>
      </c>
      <c r="G27" t="s">
        <v>44</v>
      </c>
      <c r="H27">
        <v>0</v>
      </c>
      <c r="I27">
        <f>2*1.2*(3.5+5)</f>
        <v>20.399999999999999</v>
      </c>
      <c r="L27">
        <f>Constants!$B$2</f>
        <v>2.8</v>
      </c>
      <c r="M27" t="str">
        <f t="shared" si="18"/>
        <v>N/A</v>
      </c>
      <c r="N27">
        <f>P27*Constants!$E$2</f>
        <v>0</v>
      </c>
      <c r="P27">
        <f t="shared" si="19"/>
        <v>0</v>
      </c>
      <c r="Q27">
        <f>P27*Constants!$B$3</f>
        <v>0</v>
      </c>
      <c r="R27">
        <f t="shared" si="20"/>
        <v>0</v>
      </c>
      <c r="S27">
        <f t="shared" si="21"/>
        <v>20.399999999999999</v>
      </c>
      <c r="T27">
        <f>S27*Constants!$B$2</f>
        <v>57.11999999999999</v>
      </c>
      <c r="V27">
        <f t="shared" si="22"/>
        <v>0</v>
      </c>
      <c r="W27">
        <f t="shared" si="23"/>
        <v>0</v>
      </c>
      <c r="AA27" s="8"/>
      <c r="AJ27" s="4"/>
    </row>
    <row r="28" spans="1:36" x14ac:dyDescent="0.25">
      <c r="A28">
        <v>27</v>
      </c>
      <c r="B28">
        <v>7</v>
      </c>
      <c r="C28" t="s">
        <v>54</v>
      </c>
      <c r="D28" s="16" t="s">
        <v>715</v>
      </c>
      <c r="E28" s="16"/>
      <c r="F28">
        <v>30</v>
      </c>
      <c r="G28">
        <v>180</v>
      </c>
      <c r="H28">
        <f>1.2*5</f>
        <v>6</v>
      </c>
      <c r="I28">
        <f>2*1.2*(4+5.1)</f>
        <v>21.84</v>
      </c>
      <c r="L28">
        <f>Constants!$B$2</f>
        <v>2.8</v>
      </c>
      <c r="M28">
        <f t="shared" ref="M28:M31" si="24">IF(N28&gt;0,G28,"N/A")</f>
        <v>180</v>
      </c>
      <c r="N28">
        <f>P28*Constants!$E$2</f>
        <v>10.199999999999999</v>
      </c>
      <c r="P28">
        <f t="shared" ref="P28:P31" si="25">H28</f>
        <v>6</v>
      </c>
      <c r="Q28">
        <f>P28*Constants!$B$3</f>
        <v>25.199999999999996</v>
      </c>
      <c r="R28">
        <f t="shared" ref="R28:R31" si="26">IF(Q28-N28&lt;=0, 0, Q28-N28)</f>
        <v>14.999999999999996</v>
      </c>
      <c r="S28">
        <f t="shared" ref="S28:S31" si="27">I28-P28</f>
        <v>15.84</v>
      </c>
      <c r="T28">
        <f>S28*Constants!$B$2</f>
        <v>44.351999999999997</v>
      </c>
      <c r="V28">
        <f t="shared" ref="V28:V31" si="28">IF(B28="E",1,0)</f>
        <v>0</v>
      </c>
      <c r="W28">
        <f t="shared" ref="W28:W31" si="29">IF(B28=10,1,0)</f>
        <v>0</v>
      </c>
      <c r="AA28" s="8"/>
      <c r="AJ28" s="4"/>
    </row>
    <row r="29" spans="1:36" x14ac:dyDescent="0.25">
      <c r="A29">
        <v>28</v>
      </c>
      <c r="B29">
        <v>7</v>
      </c>
      <c r="C29" t="s">
        <v>64</v>
      </c>
      <c r="D29" s="16" t="s">
        <v>726</v>
      </c>
      <c r="F29">
        <v>4.6399999999999997</v>
      </c>
      <c r="G29" t="s">
        <v>44</v>
      </c>
      <c r="H29">
        <v>0</v>
      </c>
      <c r="I29">
        <f>2*1.2*(1.5+2.5)</f>
        <v>9.6</v>
      </c>
      <c r="L29">
        <f>Constants!$B$2</f>
        <v>2.8</v>
      </c>
      <c r="M29" t="str">
        <f t="shared" si="24"/>
        <v>N/A</v>
      </c>
      <c r="N29">
        <f>P29*Constants!$E$2</f>
        <v>0</v>
      </c>
      <c r="P29">
        <f t="shared" si="25"/>
        <v>0</v>
      </c>
      <c r="Q29">
        <f>P29*Constants!$B$3</f>
        <v>0</v>
      </c>
      <c r="R29">
        <f t="shared" si="26"/>
        <v>0</v>
      </c>
      <c r="S29">
        <f t="shared" si="27"/>
        <v>9.6</v>
      </c>
      <c r="T29">
        <f>S29*Constants!$B$2</f>
        <v>26.88</v>
      </c>
      <c r="V29">
        <f t="shared" si="28"/>
        <v>0</v>
      </c>
      <c r="W29">
        <f t="shared" si="29"/>
        <v>0</v>
      </c>
      <c r="AA29" s="8"/>
      <c r="AJ29" s="4"/>
    </row>
    <row r="30" spans="1:36" x14ac:dyDescent="0.25">
      <c r="A30">
        <v>29</v>
      </c>
      <c r="B30">
        <v>7</v>
      </c>
      <c r="C30" t="s">
        <v>64</v>
      </c>
      <c r="D30" s="16" t="s">
        <v>716</v>
      </c>
      <c r="F30">
        <v>4.6399999999999997</v>
      </c>
      <c r="G30" t="s">
        <v>44</v>
      </c>
      <c r="H30">
        <v>0</v>
      </c>
      <c r="I30">
        <f>2*1.2*(1.5+2.5)</f>
        <v>9.6</v>
      </c>
      <c r="L30">
        <f>Constants!$B$2</f>
        <v>2.8</v>
      </c>
      <c r="M30" t="str">
        <f t="shared" si="24"/>
        <v>N/A</v>
      </c>
      <c r="N30">
        <f>P30*Constants!$E$2</f>
        <v>0</v>
      </c>
      <c r="P30">
        <f t="shared" si="25"/>
        <v>0</v>
      </c>
      <c r="Q30">
        <f>P30*Constants!$B$3</f>
        <v>0</v>
      </c>
      <c r="R30">
        <f t="shared" si="26"/>
        <v>0</v>
      </c>
      <c r="S30">
        <f t="shared" si="27"/>
        <v>9.6</v>
      </c>
      <c r="T30">
        <f>S30*Constants!$B$2</f>
        <v>26.88</v>
      </c>
      <c r="V30">
        <f t="shared" si="28"/>
        <v>0</v>
      </c>
      <c r="W30">
        <f t="shared" si="29"/>
        <v>0</v>
      </c>
      <c r="AA30" s="8"/>
      <c r="AJ30" s="4"/>
    </row>
    <row r="31" spans="1:36" x14ac:dyDescent="0.25">
      <c r="A31">
        <v>30</v>
      </c>
      <c r="B31">
        <v>7</v>
      </c>
      <c r="C31" t="s">
        <v>62</v>
      </c>
      <c r="D31" s="16" t="s">
        <v>719</v>
      </c>
      <c r="E31" s="16"/>
      <c r="F31">
        <v>20.57</v>
      </c>
      <c r="G31">
        <v>180</v>
      </c>
      <c r="H31">
        <v>4</v>
      </c>
      <c r="I31">
        <f>2*(5.6+4)</f>
        <v>19.2</v>
      </c>
      <c r="L31">
        <f>Constants!$B$2</f>
        <v>2.8</v>
      </c>
      <c r="M31">
        <f t="shared" si="24"/>
        <v>180</v>
      </c>
      <c r="N31">
        <f>P31*Constants!$E$2</f>
        <v>6.8</v>
      </c>
      <c r="P31">
        <f t="shared" si="25"/>
        <v>4</v>
      </c>
      <c r="Q31">
        <f>P31*Constants!$B$3</f>
        <v>16.799999999999997</v>
      </c>
      <c r="R31">
        <f t="shared" si="26"/>
        <v>9.9999999999999964</v>
      </c>
      <c r="S31">
        <f t="shared" si="27"/>
        <v>15.2</v>
      </c>
      <c r="T31">
        <f>S31*Constants!$B$2</f>
        <v>42.559999999999995</v>
      </c>
      <c r="V31">
        <f t="shared" si="28"/>
        <v>0</v>
      </c>
      <c r="W31">
        <f t="shared" si="29"/>
        <v>0</v>
      </c>
      <c r="AA31" s="8"/>
      <c r="AJ31" s="4"/>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4"/>
    </row>
    <row r="425" spans="4:4" x14ac:dyDescent="0.25">
      <c r="D425" s="14"/>
    </row>
    <row r="426" spans="4:4" x14ac:dyDescent="0.25">
      <c r="D426" s="13"/>
    </row>
    <row r="427" spans="4:4" x14ac:dyDescent="0.25">
      <c r="D427" s="13"/>
    </row>
    <row r="428" spans="4:4" x14ac:dyDescent="0.25">
      <c r="D428" s="13"/>
    </row>
    <row r="429" spans="4:4" x14ac:dyDescent="0.25">
      <c r="D429" s="13"/>
    </row>
    <row r="430" spans="4:4" x14ac:dyDescent="0.25">
      <c r="D430" s="13"/>
    </row>
    <row r="431" spans="4:4" x14ac:dyDescent="0.25">
      <c r="D431" s="13"/>
    </row>
    <row r="432" spans="4:4" x14ac:dyDescent="0.25">
      <c r="D432" s="13"/>
    </row>
    <row r="433" spans="4:4" x14ac:dyDescent="0.25">
      <c r="D433" s="13"/>
    </row>
  </sheetData>
  <phoneticPr fontId="5" type="noConversion"/>
  <pageMargins left="0.7" right="0.7" top="0.78740157499999996" bottom="0.78740157499999996"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18"/>
  <sheetViews>
    <sheetView zoomScaleNormal="100" workbookViewId="0">
      <pane xSplit="4" ySplit="1" topLeftCell="H2" activePane="bottomRight" state="frozen"/>
      <selection pane="topRight" activeCell="F1" sqref="F1"/>
      <selection pane="bottomLeft" activeCell="A2" sqref="A2"/>
      <selection pane="bottomRight" activeCell="D23" sqref="D23"/>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62</v>
      </c>
      <c r="D2" s="16" t="s">
        <v>727</v>
      </c>
      <c r="F2">
        <v>20.56</v>
      </c>
      <c r="G2">
        <v>0</v>
      </c>
      <c r="H2">
        <v>4</v>
      </c>
      <c r="I2">
        <f>2*(4+6.4)</f>
        <v>20.8</v>
      </c>
      <c r="L2">
        <f>Constants!$B$2</f>
        <v>2.8</v>
      </c>
      <c r="M2">
        <f t="shared" ref="M2:M17" si="0">IF(N2&gt;0,G2,"N/A")</f>
        <v>0</v>
      </c>
      <c r="N2">
        <f>P2*Constants!$E$2</f>
        <v>6.8</v>
      </c>
      <c r="P2">
        <f>H2</f>
        <v>4</v>
      </c>
      <c r="Q2">
        <f>P2*Constants!$B$3</f>
        <v>16.799999999999997</v>
      </c>
      <c r="R2">
        <f>IF(Q2-N2&lt;=0, 0, Q2-N2)</f>
        <v>9.9999999999999964</v>
      </c>
      <c r="S2">
        <f>I2-P2</f>
        <v>16.8</v>
      </c>
      <c r="T2">
        <f>S2*Constants!$B$2</f>
        <v>47.04</v>
      </c>
      <c r="V2">
        <f>IF(B2="E",1,0)</f>
        <v>0</v>
      </c>
      <c r="W2">
        <f>IF(B2=10,1,0)</f>
        <v>0</v>
      </c>
      <c r="AA2" s="8"/>
      <c r="AJ2" s="4"/>
    </row>
    <row r="3" spans="1:40" x14ac:dyDescent="0.25">
      <c r="A3">
        <v>2</v>
      </c>
      <c r="B3">
        <v>7</v>
      </c>
      <c r="C3" t="s">
        <v>64</v>
      </c>
      <c r="D3" s="16" t="s">
        <v>728</v>
      </c>
      <c r="F3">
        <v>3.72</v>
      </c>
      <c r="G3" t="s">
        <v>44</v>
      </c>
      <c r="H3">
        <v>0</v>
      </c>
      <c r="I3">
        <f>2*(3.5+1.3)</f>
        <v>9.6</v>
      </c>
      <c r="L3">
        <f>Constants!$B$2</f>
        <v>2.8</v>
      </c>
      <c r="M3" t="str">
        <f t="shared" si="0"/>
        <v>N/A</v>
      </c>
      <c r="N3">
        <f>P3*Constants!$E$2</f>
        <v>0</v>
      </c>
      <c r="P3">
        <f t="shared" ref="P3:P16" si="1">H3</f>
        <v>0</v>
      </c>
      <c r="Q3">
        <f>P3*Constants!$B$3</f>
        <v>0</v>
      </c>
      <c r="R3">
        <f t="shared" ref="R3:R22" si="2">IF(Q3-N3&lt;=0, 0, Q3-N3)</f>
        <v>0</v>
      </c>
      <c r="S3">
        <f t="shared" ref="S3:S16" si="3">I3-P3</f>
        <v>9.6</v>
      </c>
      <c r="T3">
        <f>S3*Constants!$B$2</f>
        <v>26.88</v>
      </c>
      <c r="V3">
        <f t="shared" ref="V3:V17" si="4">IF(B3="E",1,0)</f>
        <v>0</v>
      </c>
      <c r="W3">
        <f t="shared" ref="W3:W17" si="5">IF(B3=10,1,0)</f>
        <v>0</v>
      </c>
      <c r="AA3" s="8"/>
      <c r="AJ3" s="4"/>
    </row>
    <row r="4" spans="1:40" x14ac:dyDescent="0.25">
      <c r="A4">
        <v>3</v>
      </c>
      <c r="B4">
        <v>7</v>
      </c>
      <c r="C4" t="s">
        <v>64</v>
      </c>
      <c r="D4" s="16" t="s">
        <v>729</v>
      </c>
      <c r="F4">
        <v>3.72</v>
      </c>
      <c r="G4" t="s">
        <v>44</v>
      </c>
      <c r="H4">
        <v>0</v>
      </c>
      <c r="I4">
        <f>2*(3.5+1.3)</f>
        <v>9.6</v>
      </c>
      <c r="L4">
        <f>Constants!$B$2</f>
        <v>2.8</v>
      </c>
      <c r="M4" t="str">
        <f t="shared" si="0"/>
        <v>N/A</v>
      </c>
      <c r="N4">
        <f>P4*Constants!$E$2</f>
        <v>0</v>
      </c>
      <c r="P4">
        <f t="shared" si="1"/>
        <v>0</v>
      </c>
      <c r="Q4">
        <f>P4*Constants!$B$3</f>
        <v>0</v>
      </c>
      <c r="R4">
        <f t="shared" si="2"/>
        <v>0</v>
      </c>
      <c r="S4">
        <f t="shared" si="3"/>
        <v>9.6</v>
      </c>
      <c r="T4">
        <f>S4*Constants!$B$2</f>
        <v>26.88</v>
      </c>
      <c r="V4">
        <f t="shared" si="4"/>
        <v>0</v>
      </c>
      <c r="W4">
        <f t="shared" si="5"/>
        <v>0</v>
      </c>
      <c r="AA4" s="8"/>
      <c r="AJ4" s="4"/>
    </row>
    <row r="5" spans="1:40" x14ac:dyDescent="0.25">
      <c r="A5">
        <v>4</v>
      </c>
      <c r="B5">
        <v>7</v>
      </c>
      <c r="C5" t="s">
        <v>64</v>
      </c>
      <c r="D5" s="16" t="s">
        <v>730</v>
      </c>
      <c r="F5">
        <f>1.61+1.51</f>
        <v>3.12</v>
      </c>
      <c r="G5">
        <v>270</v>
      </c>
      <c r="H5">
        <v>2.4</v>
      </c>
      <c r="I5">
        <f>5.01+5.21-1.4*2</f>
        <v>7.419999999999999</v>
      </c>
      <c r="L5">
        <f>Constants!$B$2</f>
        <v>2.8</v>
      </c>
      <c r="M5">
        <f t="shared" si="0"/>
        <v>270</v>
      </c>
      <c r="N5">
        <f>P5*Constants!$E$2</f>
        <v>4.08</v>
      </c>
      <c r="P5">
        <f t="shared" si="1"/>
        <v>2.4</v>
      </c>
      <c r="Q5">
        <f>P5*Constants!$B$3</f>
        <v>10.079999999999998</v>
      </c>
      <c r="R5">
        <f t="shared" si="2"/>
        <v>5.9999999999999982</v>
      </c>
      <c r="S5">
        <f t="shared" si="3"/>
        <v>5.0199999999999996</v>
      </c>
      <c r="T5">
        <f>S5*Constants!$B$2</f>
        <v>14.055999999999997</v>
      </c>
      <c r="V5">
        <f t="shared" si="4"/>
        <v>0</v>
      </c>
      <c r="W5">
        <f t="shared" si="5"/>
        <v>0</v>
      </c>
      <c r="AA5" s="8"/>
      <c r="AJ5" s="4"/>
    </row>
    <row r="6" spans="1:40" x14ac:dyDescent="0.25">
      <c r="A6">
        <v>5</v>
      </c>
      <c r="B6">
        <v>7</v>
      </c>
      <c r="C6" t="s">
        <v>64</v>
      </c>
      <c r="D6" s="16" t="s">
        <v>731</v>
      </c>
      <c r="F6">
        <f>1.61+1.51</f>
        <v>3.12</v>
      </c>
      <c r="G6" t="s">
        <v>44</v>
      </c>
      <c r="H6">
        <v>0</v>
      </c>
      <c r="I6">
        <f>5.01+5.21-1.4*2</f>
        <v>7.419999999999999</v>
      </c>
      <c r="L6">
        <f>Constants!$B$2</f>
        <v>2.8</v>
      </c>
      <c r="M6" t="str">
        <f t="shared" si="0"/>
        <v>N/A</v>
      </c>
      <c r="N6">
        <f>P6*Constants!$E$2</f>
        <v>0</v>
      </c>
      <c r="P6">
        <f t="shared" si="1"/>
        <v>0</v>
      </c>
      <c r="Q6">
        <f>P6*Constants!$B$3</f>
        <v>0</v>
      </c>
      <c r="R6">
        <f t="shared" si="2"/>
        <v>0</v>
      </c>
      <c r="S6">
        <f t="shared" si="3"/>
        <v>7.419999999999999</v>
      </c>
      <c r="T6">
        <f>S6*Constants!$B$2</f>
        <v>20.775999999999996</v>
      </c>
      <c r="V6">
        <f t="shared" si="4"/>
        <v>0</v>
      </c>
      <c r="W6">
        <f t="shared" si="5"/>
        <v>0</v>
      </c>
      <c r="AA6" s="8"/>
      <c r="AJ6" s="4"/>
    </row>
    <row r="7" spans="1:40" x14ac:dyDescent="0.25">
      <c r="A7">
        <v>6</v>
      </c>
      <c r="B7">
        <v>7</v>
      </c>
      <c r="C7" t="s">
        <v>64</v>
      </c>
      <c r="D7" s="16" t="s">
        <v>732</v>
      </c>
      <c r="F7">
        <v>5.32</v>
      </c>
      <c r="G7" t="s">
        <v>44</v>
      </c>
      <c r="H7">
        <v>0</v>
      </c>
      <c r="I7">
        <v>9.4499999999999993</v>
      </c>
      <c r="L7">
        <f>Constants!$B$2</f>
        <v>2.8</v>
      </c>
      <c r="M7" t="str">
        <f t="shared" si="0"/>
        <v>N/A</v>
      </c>
      <c r="N7">
        <f>P7*Constants!$E$2</f>
        <v>0</v>
      </c>
      <c r="P7">
        <f t="shared" si="1"/>
        <v>0</v>
      </c>
      <c r="Q7">
        <f>P7*Constants!$B$3</f>
        <v>0</v>
      </c>
      <c r="R7">
        <f t="shared" si="2"/>
        <v>0</v>
      </c>
      <c r="S7">
        <f t="shared" si="3"/>
        <v>9.4499999999999993</v>
      </c>
      <c r="T7">
        <f>S7*Constants!$B$2</f>
        <v>26.459999999999997</v>
      </c>
      <c r="V7">
        <f t="shared" si="4"/>
        <v>0</v>
      </c>
      <c r="W7">
        <f t="shared" si="5"/>
        <v>0</v>
      </c>
      <c r="AA7" s="8"/>
      <c r="AJ7" s="4"/>
    </row>
    <row r="8" spans="1:40" x14ac:dyDescent="0.25">
      <c r="A8">
        <v>7</v>
      </c>
      <c r="B8">
        <v>7</v>
      </c>
      <c r="C8" t="s">
        <v>54</v>
      </c>
      <c r="D8" s="16" t="s">
        <v>733</v>
      </c>
      <c r="E8" s="16"/>
      <c r="F8">
        <v>11.61</v>
      </c>
      <c r="G8">
        <v>0</v>
      </c>
      <c r="H8">
        <v>3.1</v>
      </c>
      <c r="I8">
        <v>13.7</v>
      </c>
      <c r="L8">
        <f>Constants!$B$2</f>
        <v>2.8</v>
      </c>
      <c r="M8">
        <f t="shared" si="0"/>
        <v>0</v>
      </c>
      <c r="N8">
        <f>P8*Constants!$E$2</f>
        <v>5.27</v>
      </c>
      <c r="P8">
        <f t="shared" si="1"/>
        <v>3.1</v>
      </c>
      <c r="Q8">
        <f>P8*Constants!$B$3</f>
        <v>13.019999999999998</v>
      </c>
      <c r="R8">
        <f t="shared" si="2"/>
        <v>7.7499999999999982</v>
      </c>
      <c r="S8">
        <f t="shared" si="3"/>
        <v>10.6</v>
      </c>
      <c r="T8">
        <f>S8*Constants!$B$2</f>
        <v>29.679999999999996</v>
      </c>
      <c r="V8">
        <f t="shared" si="4"/>
        <v>0</v>
      </c>
      <c r="W8">
        <f t="shared" si="5"/>
        <v>0</v>
      </c>
      <c r="AA8" s="8"/>
      <c r="AJ8" s="4"/>
    </row>
    <row r="9" spans="1:40" x14ac:dyDescent="0.25">
      <c r="A9">
        <v>8</v>
      </c>
      <c r="B9">
        <v>7</v>
      </c>
      <c r="C9" t="s">
        <v>67</v>
      </c>
      <c r="D9" s="16" t="s">
        <v>773</v>
      </c>
      <c r="F9">
        <v>15.78</v>
      </c>
      <c r="G9">
        <v>0</v>
      </c>
      <c r="H9">
        <v>3.6</v>
      </c>
      <c r="I9">
        <v>16.05</v>
      </c>
      <c r="L9">
        <f>Constants!$B$2</f>
        <v>2.8</v>
      </c>
      <c r="M9">
        <f t="shared" si="0"/>
        <v>0</v>
      </c>
      <c r="N9">
        <f>P9*Constants!$E$2</f>
        <v>6.12</v>
      </c>
      <c r="P9">
        <f t="shared" si="1"/>
        <v>3.6</v>
      </c>
      <c r="Q9">
        <f>P9*Constants!$B$3</f>
        <v>15.119999999999997</v>
      </c>
      <c r="R9">
        <f t="shared" si="2"/>
        <v>8.9999999999999964</v>
      </c>
      <c r="S9">
        <f t="shared" si="3"/>
        <v>12.450000000000001</v>
      </c>
      <c r="T9">
        <f>S9*Constants!$B$2</f>
        <v>34.86</v>
      </c>
      <c r="V9">
        <f t="shared" si="4"/>
        <v>0</v>
      </c>
      <c r="W9">
        <f t="shared" si="5"/>
        <v>0</v>
      </c>
      <c r="AA9" s="8"/>
      <c r="AJ9" s="4"/>
    </row>
    <row r="10" spans="1:40" x14ac:dyDescent="0.25">
      <c r="A10">
        <v>9</v>
      </c>
      <c r="B10">
        <v>7</v>
      </c>
      <c r="C10" t="s">
        <v>55</v>
      </c>
      <c r="D10" s="16" t="s">
        <v>734</v>
      </c>
      <c r="F10">
        <v>1.66</v>
      </c>
      <c r="G10" t="s">
        <v>44</v>
      </c>
      <c r="H10">
        <v>0</v>
      </c>
      <c r="I10">
        <f>2*1.2*(1+1.4)</f>
        <v>5.76</v>
      </c>
      <c r="L10">
        <f>Constants!$B$2</f>
        <v>2.8</v>
      </c>
      <c r="M10" t="str">
        <f t="shared" ref="M10" si="6">IF(N10&gt;0,G10,"N/A")</f>
        <v>N/A</v>
      </c>
      <c r="N10">
        <f>P10*Constants!$E$2</f>
        <v>0</v>
      </c>
      <c r="P10">
        <f t="shared" ref="P10" si="7">H10</f>
        <v>0</v>
      </c>
      <c r="Q10">
        <f>P10*Constants!$B$3</f>
        <v>0</v>
      </c>
      <c r="R10">
        <f t="shared" ref="R10" si="8">IF(Q10-N10&lt;=0, 0, Q10-N10)</f>
        <v>0</v>
      </c>
      <c r="S10">
        <f t="shared" ref="S10" si="9">I10-P10</f>
        <v>5.76</v>
      </c>
      <c r="T10">
        <f>S10*Constants!$B$2</f>
        <v>16.128</v>
      </c>
      <c r="V10">
        <f t="shared" ref="V10" si="10">IF(B10="E",1,0)</f>
        <v>0</v>
      </c>
      <c r="W10">
        <f t="shared" ref="W10" si="11">IF(B10=10,1,0)</f>
        <v>0</v>
      </c>
      <c r="AA10" s="8"/>
      <c r="AJ10" s="4"/>
    </row>
    <row r="11" spans="1:40" x14ac:dyDescent="0.25">
      <c r="A11">
        <v>10</v>
      </c>
      <c r="B11">
        <v>7</v>
      </c>
      <c r="C11" t="s">
        <v>50</v>
      </c>
      <c r="D11" s="16" t="s">
        <v>735</v>
      </c>
      <c r="F11">
        <v>6.83</v>
      </c>
      <c r="G11" t="s">
        <v>44</v>
      </c>
      <c r="H11">
        <v>0</v>
      </c>
      <c r="I11">
        <v>10.75</v>
      </c>
      <c r="L11">
        <f>Constants!$B$2</f>
        <v>2.8</v>
      </c>
      <c r="M11" t="str">
        <f t="shared" si="0"/>
        <v>N/A</v>
      </c>
      <c r="N11">
        <f>P11*Constants!$E$2</f>
        <v>0</v>
      </c>
      <c r="P11">
        <f t="shared" si="1"/>
        <v>0</v>
      </c>
      <c r="Q11">
        <f>P11*Constants!$B$3</f>
        <v>0</v>
      </c>
      <c r="R11">
        <f t="shared" si="2"/>
        <v>0</v>
      </c>
      <c r="S11">
        <f t="shared" si="3"/>
        <v>10.75</v>
      </c>
      <c r="T11">
        <f>S11*Constants!$B$2</f>
        <v>30.099999999999998</v>
      </c>
      <c r="V11">
        <f t="shared" si="4"/>
        <v>0</v>
      </c>
      <c r="W11">
        <f t="shared" si="5"/>
        <v>0</v>
      </c>
      <c r="AA11" s="8"/>
      <c r="AJ11" s="4"/>
    </row>
    <row r="12" spans="1:40" x14ac:dyDescent="0.25">
      <c r="A12">
        <v>11</v>
      </c>
      <c r="B12">
        <v>7</v>
      </c>
      <c r="C12" t="s">
        <v>50</v>
      </c>
      <c r="D12" s="16" t="s">
        <v>736</v>
      </c>
      <c r="F12">
        <v>50.63</v>
      </c>
      <c r="G12">
        <v>0</v>
      </c>
      <c r="H12">
        <v>2</v>
      </c>
      <c r="I12">
        <f>2*1.2*(5+9)</f>
        <v>33.6</v>
      </c>
      <c r="L12">
        <f>Constants!$B$2</f>
        <v>2.8</v>
      </c>
      <c r="M12">
        <f t="shared" si="0"/>
        <v>0</v>
      </c>
      <c r="N12">
        <f>P12*Constants!$E$2</f>
        <v>3.4</v>
      </c>
      <c r="P12">
        <f t="shared" si="1"/>
        <v>2</v>
      </c>
      <c r="Q12">
        <f>P12*Constants!$B$3</f>
        <v>8.3999999999999986</v>
      </c>
      <c r="R12">
        <f t="shared" si="2"/>
        <v>4.9999999999999982</v>
      </c>
      <c r="S12">
        <f t="shared" si="3"/>
        <v>31.6</v>
      </c>
      <c r="T12">
        <f>S12*Constants!$B$2</f>
        <v>88.48</v>
      </c>
      <c r="V12">
        <f t="shared" si="4"/>
        <v>0</v>
      </c>
      <c r="W12">
        <f t="shared" si="5"/>
        <v>0</v>
      </c>
      <c r="AA12" s="8"/>
      <c r="AJ12" s="4"/>
    </row>
    <row r="13" spans="1:40" x14ac:dyDescent="0.25">
      <c r="A13">
        <v>12</v>
      </c>
      <c r="B13">
        <v>7</v>
      </c>
      <c r="C13" t="s">
        <v>54</v>
      </c>
      <c r="D13" s="16" t="s">
        <v>774</v>
      </c>
      <c r="F13">
        <v>3.72</v>
      </c>
      <c r="G13" t="s">
        <v>44</v>
      </c>
      <c r="H13">
        <v>0</v>
      </c>
      <c r="I13">
        <f>2*(3.3+1.3)</f>
        <v>9.1999999999999993</v>
      </c>
      <c r="L13">
        <f>Constants!$B$2</f>
        <v>2.8</v>
      </c>
      <c r="M13" t="str">
        <f t="shared" si="0"/>
        <v>N/A</v>
      </c>
      <c r="N13">
        <f>P13*Constants!$E$2</f>
        <v>0</v>
      </c>
      <c r="P13">
        <f t="shared" si="1"/>
        <v>0</v>
      </c>
      <c r="Q13">
        <f>P13*Constants!$B$3</f>
        <v>0</v>
      </c>
      <c r="R13">
        <f t="shared" si="2"/>
        <v>0</v>
      </c>
      <c r="S13">
        <f t="shared" si="3"/>
        <v>9.1999999999999993</v>
      </c>
      <c r="T13">
        <f>S13*Constants!$B$2</f>
        <v>25.759999999999998</v>
      </c>
      <c r="V13">
        <f t="shared" si="4"/>
        <v>0</v>
      </c>
      <c r="W13">
        <f t="shared" si="5"/>
        <v>0</v>
      </c>
      <c r="AA13" s="8"/>
      <c r="AJ13" s="4"/>
    </row>
    <row r="14" spans="1:40" x14ac:dyDescent="0.25">
      <c r="A14">
        <v>13</v>
      </c>
      <c r="B14">
        <v>7</v>
      </c>
      <c r="C14" t="s">
        <v>62</v>
      </c>
      <c r="D14" s="16" t="s">
        <v>737</v>
      </c>
      <c r="E14" s="16"/>
      <c r="F14">
        <v>20.399999999999999</v>
      </c>
      <c r="G14">
        <v>0</v>
      </c>
      <c r="H14">
        <v>4</v>
      </c>
      <c r="I14">
        <f>2*(4+6.4)</f>
        <v>20.8</v>
      </c>
      <c r="L14">
        <f>Constants!$B$2</f>
        <v>2.8</v>
      </c>
      <c r="M14">
        <f t="shared" si="0"/>
        <v>0</v>
      </c>
      <c r="N14">
        <f>P14*Constants!$E$2</f>
        <v>6.8</v>
      </c>
      <c r="P14">
        <f t="shared" si="1"/>
        <v>4</v>
      </c>
      <c r="Q14">
        <f>P14*Constants!$B$3</f>
        <v>16.799999999999997</v>
      </c>
      <c r="R14">
        <f t="shared" si="2"/>
        <v>9.9999999999999964</v>
      </c>
      <c r="S14">
        <f t="shared" si="3"/>
        <v>16.8</v>
      </c>
      <c r="T14">
        <f>S14*Constants!$B$2</f>
        <v>47.04</v>
      </c>
      <c r="V14">
        <f t="shared" si="4"/>
        <v>0</v>
      </c>
      <c r="W14">
        <f t="shared" si="5"/>
        <v>0</v>
      </c>
      <c r="AA14" s="8"/>
      <c r="AJ14" s="4"/>
    </row>
    <row r="15" spans="1:40" x14ac:dyDescent="0.25">
      <c r="A15">
        <v>14</v>
      </c>
      <c r="B15">
        <v>7</v>
      </c>
      <c r="C15" t="s">
        <v>64</v>
      </c>
      <c r="D15" s="16" t="s">
        <v>738</v>
      </c>
      <c r="F15">
        <v>3.72</v>
      </c>
      <c r="G15" t="s">
        <v>44</v>
      </c>
      <c r="H15">
        <v>0</v>
      </c>
      <c r="I15">
        <f>2*(3.3+1.3)</f>
        <v>9.1999999999999993</v>
      </c>
      <c r="L15">
        <f>Constants!$B$2</f>
        <v>2.8</v>
      </c>
      <c r="M15" t="str">
        <f t="shared" si="0"/>
        <v>N/A</v>
      </c>
      <c r="N15">
        <f>P15*Constants!$E$2</f>
        <v>0</v>
      </c>
      <c r="P15">
        <f t="shared" si="1"/>
        <v>0</v>
      </c>
      <c r="Q15">
        <f>P15*Constants!$B$3</f>
        <v>0</v>
      </c>
      <c r="R15">
        <f t="shared" si="2"/>
        <v>0</v>
      </c>
      <c r="S15">
        <f t="shared" si="3"/>
        <v>9.1999999999999993</v>
      </c>
      <c r="T15">
        <f>S15*Constants!$B$2</f>
        <v>25.759999999999998</v>
      </c>
      <c r="V15">
        <f t="shared" si="4"/>
        <v>0</v>
      </c>
      <c r="W15">
        <f t="shared" si="5"/>
        <v>0</v>
      </c>
      <c r="AA15" s="8"/>
      <c r="AJ15" s="4"/>
    </row>
    <row r="16" spans="1:40" x14ac:dyDescent="0.25">
      <c r="A16">
        <v>15</v>
      </c>
      <c r="B16">
        <v>7</v>
      </c>
      <c r="C16" t="s">
        <v>64</v>
      </c>
      <c r="D16" s="16" t="s">
        <v>739</v>
      </c>
      <c r="F16">
        <v>3.72</v>
      </c>
      <c r="G16" t="s">
        <v>44</v>
      </c>
      <c r="H16">
        <v>0</v>
      </c>
      <c r="I16">
        <f>2*(3.3+1.3)</f>
        <v>9.1999999999999993</v>
      </c>
      <c r="L16">
        <f>Constants!$B$2</f>
        <v>2.8</v>
      </c>
      <c r="M16" t="str">
        <f t="shared" si="0"/>
        <v>N/A</v>
      </c>
      <c r="N16">
        <f>P16*Constants!$E$2</f>
        <v>0</v>
      </c>
      <c r="P16">
        <f t="shared" si="1"/>
        <v>0</v>
      </c>
      <c r="Q16">
        <f>P16*Constants!$B$3</f>
        <v>0</v>
      </c>
      <c r="R16">
        <f t="shared" si="2"/>
        <v>0</v>
      </c>
      <c r="S16">
        <f t="shared" si="3"/>
        <v>9.1999999999999993</v>
      </c>
      <c r="T16">
        <f>S16*Constants!$B$2</f>
        <v>25.759999999999998</v>
      </c>
      <c r="V16">
        <f t="shared" si="4"/>
        <v>0</v>
      </c>
      <c r="W16">
        <f t="shared" si="5"/>
        <v>0</v>
      </c>
      <c r="AA16" s="8"/>
      <c r="AJ16" s="4"/>
    </row>
    <row r="17" spans="1:36" x14ac:dyDescent="0.25">
      <c r="A17">
        <v>16</v>
      </c>
      <c r="B17">
        <v>7</v>
      </c>
      <c r="C17" t="s">
        <v>64</v>
      </c>
      <c r="D17" s="16" t="s">
        <v>740</v>
      </c>
      <c r="E17" s="16"/>
      <c r="F17">
        <v>3.47</v>
      </c>
      <c r="G17" t="s">
        <v>44</v>
      </c>
      <c r="H17">
        <v>0</v>
      </c>
      <c r="I17">
        <v>9.23</v>
      </c>
      <c r="L17">
        <f>Constants!$B$2</f>
        <v>2.8</v>
      </c>
      <c r="M17" t="str">
        <f t="shared" si="0"/>
        <v>N/A</v>
      </c>
      <c r="N17">
        <f>P17*Constants!$E$2</f>
        <v>0</v>
      </c>
      <c r="P17">
        <f>H17</f>
        <v>0</v>
      </c>
      <c r="Q17">
        <f>P17*Constants!$B$3</f>
        <v>0</v>
      </c>
      <c r="R17">
        <f t="shared" si="2"/>
        <v>0</v>
      </c>
      <c r="S17">
        <f>I17-P17</f>
        <v>9.23</v>
      </c>
      <c r="T17">
        <f>S17*Constants!$B$2</f>
        <v>25.844000000000001</v>
      </c>
      <c r="V17">
        <f t="shared" si="4"/>
        <v>0</v>
      </c>
      <c r="W17">
        <f t="shared" si="5"/>
        <v>0</v>
      </c>
      <c r="AA17" s="8"/>
      <c r="AJ17" s="4"/>
    </row>
    <row r="18" spans="1:36" x14ac:dyDescent="0.25">
      <c r="A18">
        <v>17</v>
      </c>
      <c r="B18">
        <v>7</v>
      </c>
      <c r="C18" t="s">
        <v>54</v>
      </c>
      <c r="D18" s="16" t="s">
        <v>741</v>
      </c>
      <c r="F18">
        <v>33.79</v>
      </c>
      <c r="G18">
        <v>0</v>
      </c>
      <c r="H18">
        <f>6*1.2</f>
        <v>7.1999999999999993</v>
      </c>
      <c r="I18">
        <f>2*1.2*(6.5+5.5)</f>
        <v>28.799999999999997</v>
      </c>
      <c r="L18">
        <f>Constants!$B$2</f>
        <v>2.8</v>
      </c>
      <c r="M18">
        <f t="shared" ref="M18:M22" si="12">IF(N18&gt;0,G18,"N/A")</f>
        <v>0</v>
      </c>
      <c r="N18">
        <f>P18*Constants!$E$2</f>
        <v>12.239999999999998</v>
      </c>
      <c r="P18">
        <f>H18</f>
        <v>7.1999999999999993</v>
      </c>
      <c r="Q18">
        <f>P18*Constants!$B$3</f>
        <v>30.239999999999991</v>
      </c>
      <c r="R18">
        <f t="shared" si="2"/>
        <v>17.999999999999993</v>
      </c>
      <c r="S18">
        <f>I18-P18</f>
        <v>21.599999999999998</v>
      </c>
      <c r="T18">
        <f>S18*Constants!$B$2</f>
        <v>60.47999999999999</v>
      </c>
      <c r="V18">
        <f>IF(B18="E",1,0)</f>
        <v>0</v>
      </c>
      <c r="W18">
        <f>IF(B18=10,1,0)</f>
        <v>0</v>
      </c>
      <c r="AA18" s="8"/>
      <c r="AJ18" s="4"/>
    </row>
    <row r="19" spans="1:36" x14ac:dyDescent="0.25">
      <c r="A19">
        <v>18</v>
      </c>
      <c r="B19">
        <v>7</v>
      </c>
      <c r="C19" t="s">
        <v>55</v>
      </c>
      <c r="D19" s="16" t="s">
        <v>742</v>
      </c>
      <c r="F19">
        <v>1.67</v>
      </c>
      <c r="G19" t="s">
        <v>44</v>
      </c>
      <c r="H19">
        <v>0</v>
      </c>
      <c r="I19">
        <f>2*1.2*(1+1.2)</f>
        <v>5.28</v>
      </c>
      <c r="L19">
        <f>Constants!$B$2</f>
        <v>2.8</v>
      </c>
      <c r="M19" t="str">
        <f t="shared" si="12"/>
        <v>N/A</v>
      </c>
      <c r="N19">
        <f>P19*Constants!$E$2</f>
        <v>0</v>
      </c>
      <c r="P19">
        <f t="shared" ref="P19:P22" si="13">H19</f>
        <v>0</v>
      </c>
      <c r="Q19">
        <f>P19*Constants!$B$3</f>
        <v>0</v>
      </c>
      <c r="R19">
        <f t="shared" si="2"/>
        <v>0</v>
      </c>
      <c r="S19">
        <f t="shared" ref="S19:S22" si="14">I19-P19</f>
        <v>5.28</v>
      </c>
      <c r="T19">
        <f>S19*Constants!$B$2</f>
        <v>14.783999999999999</v>
      </c>
      <c r="V19">
        <f t="shared" ref="V19:V22" si="15">IF(B19="E",1,0)</f>
        <v>0</v>
      </c>
      <c r="W19">
        <f t="shared" ref="W19:W22" si="16">IF(B19=10,1,0)</f>
        <v>0</v>
      </c>
      <c r="AA19" s="8"/>
      <c r="AJ19" s="4"/>
    </row>
    <row r="20" spans="1:36" x14ac:dyDescent="0.25">
      <c r="A20">
        <v>19</v>
      </c>
      <c r="B20">
        <v>7</v>
      </c>
      <c r="C20" t="s">
        <v>50</v>
      </c>
      <c r="D20" s="16" t="s">
        <v>743</v>
      </c>
      <c r="F20">
        <v>6.22</v>
      </c>
      <c r="G20" t="s">
        <v>44</v>
      </c>
      <c r="H20">
        <v>0</v>
      </c>
      <c r="I20">
        <v>10.75</v>
      </c>
      <c r="L20">
        <f>Constants!$B$2</f>
        <v>2.8</v>
      </c>
      <c r="M20" t="str">
        <f t="shared" si="12"/>
        <v>N/A</v>
      </c>
      <c r="N20">
        <f>P20*Constants!$E$2</f>
        <v>0</v>
      </c>
      <c r="P20">
        <f t="shared" si="13"/>
        <v>0</v>
      </c>
      <c r="Q20">
        <f>P20*Constants!$B$3</f>
        <v>0</v>
      </c>
      <c r="R20">
        <f t="shared" si="2"/>
        <v>0</v>
      </c>
      <c r="S20">
        <f t="shared" si="14"/>
        <v>10.75</v>
      </c>
      <c r="T20">
        <f>S20*Constants!$B$2</f>
        <v>30.099999999999998</v>
      </c>
      <c r="V20">
        <f t="shared" si="15"/>
        <v>0</v>
      </c>
      <c r="W20">
        <f t="shared" si="16"/>
        <v>0</v>
      </c>
      <c r="AA20" s="8"/>
      <c r="AJ20" s="4"/>
    </row>
    <row r="21" spans="1:36" x14ac:dyDescent="0.25">
      <c r="A21">
        <v>20</v>
      </c>
      <c r="B21">
        <v>7</v>
      </c>
      <c r="C21" t="s">
        <v>55</v>
      </c>
      <c r="D21" s="16" t="s">
        <v>744</v>
      </c>
      <c r="E21" s="16"/>
      <c r="F21">
        <v>1.67</v>
      </c>
      <c r="G21" t="s">
        <v>44</v>
      </c>
      <c r="H21">
        <v>0</v>
      </c>
      <c r="I21">
        <f>2*1.2*(1+1.2)</f>
        <v>5.28</v>
      </c>
      <c r="L21">
        <f>Constants!$B$2</f>
        <v>2.8</v>
      </c>
      <c r="M21" t="str">
        <f t="shared" si="12"/>
        <v>N/A</v>
      </c>
      <c r="N21">
        <f>P21*Constants!$E$2</f>
        <v>0</v>
      </c>
      <c r="P21">
        <f t="shared" si="13"/>
        <v>0</v>
      </c>
      <c r="Q21">
        <f>P21*Constants!$B$3</f>
        <v>0</v>
      </c>
      <c r="R21">
        <f t="shared" si="2"/>
        <v>0</v>
      </c>
      <c r="S21">
        <f t="shared" si="14"/>
        <v>5.28</v>
      </c>
      <c r="T21">
        <f>S21*Constants!$B$2</f>
        <v>14.783999999999999</v>
      </c>
      <c r="V21">
        <f t="shared" si="15"/>
        <v>0</v>
      </c>
      <c r="W21">
        <f t="shared" si="16"/>
        <v>0</v>
      </c>
      <c r="AA21" s="8"/>
      <c r="AJ21" s="4"/>
    </row>
    <row r="22" spans="1:36" x14ac:dyDescent="0.25">
      <c r="A22">
        <v>21</v>
      </c>
      <c r="B22">
        <v>7</v>
      </c>
      <c r="C22" t="s">
        <v>55</v>
      </c>
      <c r="D22" s="16" t="s">
        <v>745</v>
      </c>
      <c r="F22">
        <v>12.76</v>
      </c>
      <c r="G22" t="s">
        <v>44</v>
      </c>
      <c r="H22">
        <v>0</v>
      </c>
      <c r="I22">
        <v>14.54</v>
      </c>
      <c r="L22">
        <f>Constants!$B$2</f>
        <v>2.8</v>
      </c>
      <c r="M22" t="str">
        <f t="shared" si="12"/>
        <v>N/A</v>
      </c>
      <c r="N22">
        <f>P22*Constants!$E$2</f>
        <v>0</v>
      </c>
      <c r="P22">
        <f t="shared" si="13"/>
        <v>0</v>
      </c>
      <c r="Q22">
        <f>P22*Constants!$B$3</f>
        <v>0</v>
      </c>
      <c r="R22">
        <f t="shared" si="2"/>
        <v>0</v>
      </c>
      <c r="S22">
        <f t="shared" si="14"/>
        <v>14.54</v>
      </c>
      <c r="T22">
        <f>S22*Constants!$B$2</f>
        <v>40.711999999999996</v>
      </c>
      <c r="V22">
        <f t="shared" si="15"/>
        <v>0</v>
      </c>
      <c r="W22">
        <f t="shared" si="16"/>
        <v>0</v>
      </c>
      <c r="AA22" s="8"/>
      <c r="AJ22" s="4"/>
    </row>
    <row r="23" spans="1:36" x14ac:dyDescent="0.25">
      <c r="A23">
        <v>26</v>
      </c>
      <c r="B23">
        <v>7</v>
      </c>
      <c r="C23" t="s">
        <v>62</v>
      </c>
      <c r="D23" s="16" t="s">
        <v>749</v>
      </c>
      <c r="F23">
        <f>2.4*76</f>
        <v>182.4</v>
      </c>
      <c r="G23">
        <v>180</v>
      </c>
      <c r="H23">
        <f>10.2+17.8+6.7</f>
        <v>34.700000000000003</v>
      </c>
      <c r="I23">
        <f>2*(2.4+76)</f>
        <v>156.80000000000001</v>
      </c>
      <c r="L23">
        <f>Constants!$B$2</f>
        <v>2.8</v>
      </c>
      <c r="M23">
        <f t="shared" ref="M23" si="17">IF(N23&gt;0,G23,"N/A")</f>
        <v>180</v>
      </c>
      <c r="N23">
        <f>P23*Constants!$E$2</f>
        <v>58.99</v>
      </c>
      <c r="P23">
        <f t="shared" ref="P23" si="18">H23</f>
        <v>34.700000000000003</v>
      </c>
      <c r="Q23">
        <f>P23*Constants!$B$3</f>
        <v>145.73999999999998</v>
      </c>
      <c r="R23">
        <f t="shared" ref="R23" si="19">IF(Q23-N23&lt;=0, 0, Q23-N23)</f>
        <v>86.749999999999972</v>
      </c>
      <c r="S23">
        <f t="shared" ref="S23" si="20">I23-P23</f>
        <v>122.10000000000001</v>
      </c>
      <c r="T23">
        <f>S23*Constants!$B$2</f>
        <v>341.88</v>
      </c>
      <c r="V23">
        <f t="shared" ref="V23" si="21">IF(B23="E",1,0)</f>
        <v>0</v>
      </c>
      <c r="W23">
        <f t="shared" ref="W23" si="22">IF(B23=10,1,0)</f>
        <v>0</v>
      </c>
      <c r="AA23" s="8"/>
      <c r="AJ23" s="4"/>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4"/>
    </row>
    <row r="410" spans="4:4" x14ac:dyDescent="0.25">
      <c r="D410" s="14"/>
    </row>
    <row r="411" spans="4:4" x14ac:dyDescent="0.25">
      <c r="D411" s="13"/>
    </row>
    <row r="412" spans="4:4" x14ac:dyDescent="0.25">
      <c r="D412" s="13"/>
    </row>
    <row r="413" spans="4:4" x14ac:dyDescent="0.25">
      <c r="D413" s="13"/>
    </row>
    <row r="414" spans="4:4" x14ac:dyDescent="0.25">
      <c r="D414" s="13"/>
    </row>
    <row r="415" spans="4:4" x14ac:dyDescent="0.25">
      <c r="D415" s="13"/>
    </row>
    <row r="416" spans="4:4" x14ac:dyDescent="0.25">
      <c r="D416" s="13"/>
    </row>
    <row r="417" spans="4:4" x14ac:dyDescent="0.25">
      <c r="D417" s="13"/>
    </row>
    <row r="418" spans="4:4" x14ac:dyDescent="0.25">
      <c r="D418" s="13"/>
    </row>
  </sheetData>
  <phoneticPr fontId="5" type="noConversion"/>
  <pageMargins left="0.7" right="0.7" top="0.78740157499999996" bottom="0.78740157499999996"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27"/>
  <sheetViews>
    <sheetView zoomScaleNormal="100" workbookViewId="0">
      <pane xSplit="4" ySplit="1" topLeftCell="E2" activePane="bottomRight" state="frozen"/>
      <selection pane="topRight" activeCell="F1" sqref="F1"/>
      <selection pane="bottomLeft" activeCell="A2" sqref="A2"/>
      <selection pane="bottomRight" activeCell="E15" sqref="E1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62</v>
      </c>
      <c r="D2" s="16" t="s">
        <v>752</v>
      </c>
      <c r="F2">
        <f>171*3</f>
        <v>513</v>
      </c>
      <c r="G2">
        <v>180</v>
      </c>
      <c r="H2">
        <f>13.6+23.6+8.5+3.6</f>
        <v>49.300000000000004</v>
      </c>
      <c r="I2">
        <f>2*(171+3)</f>
        <v>348</v>
      </c>
      <c r="L2">
        <f>Constants!$B$2</f>
        <v>2.8</v>
      </c>
      <c r="M2">
        <f t="shared" ref="M2:M39" si="0">IF(N2&gt;0,G2,"N/A")</f>
        <v>180</v>
      </c>
      <c r="N2">
        <f>P2*Constants!$E$2</f>
        <v>83.81</v>
      </c>
      <c r="P2">
        <f t="shared" ref="P2:P11" si="1">H2</f>
        <v>49.300000000000004</v>
      </c>
      <c r="Q2">
        <f>P2*Constants!$B$3</f>
        <v>207.05999999999997</v>
      </c>
      <c r="R2">
        <f t="shared" ref="R2:R11" si="2">IF(Q2-N2&lt;=0, 0, Q2-N2)</f>
        <v>123.24999999999997</v>
      </c>
      <c r="S2">
        <f t="shared" ref="S2:S11" si="3">I2-P2</f>
        <v>298.7</v>
      </c>
      <c r="T2">
        <f>S2*Constants!$B$2</f>
        <v>836.3599999999999</v>
      </c>
      <c r="V2">
        <f t="shared" ref="V2:V11" si="4">IF(B2="E",1,0)</f>
        <v>0</v>
      </c>
      <c r="W2">
        <f t="shared" ref="W2:W11" si="5">IF(B2=10,1,0)</f>
        <v>0</v>
      </c>
      <c r="AA2" s="8"/>
      <c r="AJ2" s="4"/>
    </row>
    <row r="3" spans="1:40" x14ac:dyDescent="0.25">
      <c r="A3">
        <v>2</v>
      </c>
      <c r="B3">
        <v>7</v>
      </c>
      <c r="C3" t="s">
        <v>54</v>
      </c>
      <c r="D3" s="16" t="s">
        <v>746</v>
      </c>
      <c r="F3">
        <v>21.78</v>
      </c>
      <c r="G3">
        <v>0</v>
      </c>
      <c r="H3">
        <f>4*1.2</f>
        <v>4.8</v>
      </c>
      <c r="I3">
        <v>19.02</v>
      </c>
      <c r="L3">
        <f>Constants!$B$2</f>
        <v>2.8</v>
      </c>
      <c r="M3">
        <f t="shared" ref="M3:M11" si="6">IF(N3&gt;0,G3,"N/A")</f>
        <v>0</v>
      </c>
      <c r="N3">
        <f>P3*Constants!$E$2</f>
        <v>8.16</v>
      </c>
      <c r="P3">
        <f t="shared" si="1"/>
        <v>4.8</v>
      </c>
      <c r="Q3">
        <f>P3*Constants!$B$3</f>
        <v>20.159999999999997</v>
      </c>
      <c r="R3">
        <f t="shared" si="2"/>
        <v>11.999999999999996</v>
      </c>
      <c r="S3">
        <f t="shared" si="3"/>
        <v>14.219999999999999</v>
      </c>
      <c r="T3">
        <f>S3*Constants!$B$2</f>
        <v>39.815999999999995</v>
      </c>
      <c r="V3">
        <f t="shared" si="4"/>
        <v>0</v>
      </c>
      <c r="W3">
        <f t="shared" si="5"/>
        <v>0</v>
      </c>
      <c r="AA3" s="8"/>
      <c r="AJ3" s="4"/>
    </row>
    <row r="4" spans="1:40" x14ac:dyDescent="0.25">
      <c r="A4">
        <v>3</v>
      </c>
      <c r="B4">
        <v>7</v>
      </c>
      <c r="C4" t="s">
        <v>54</v>
      </c>
      <c r="D4" s="16" t="s">
        <v>775</v>
      </c>
      <c r="E4" s="16"/>
      <c r="F4">
        <v>10.76</v>
      </c>
      <c r="G4">
        <v>0</v>
      </c>
      <c r="H4">
        <v>2</v>
      </c>
      <c r="I4">
        <v>13.83</v>
      </c>
      <c r="L4">
        <f>Constants!$B$2</f>
        <v>2.8</v>
      </c>
      <c r="M4">
        <f t="shared" si="6"/>
        <v>0</v>
      </c>
      <c r="N4">
        <f>P4*Constants!$E$2</f>
        <v>3.4</v>
      </c>
      <c r="P4">
        <f t="shared" si="1"/>
        <v>2</v>
      </c>
      <c r="Q4">
        <f>P4*Constants!$B$3</f>
        <v>8.3999999999999986</v>
      </c>
      <c r="R4">
        <f t="shared" si="2"/>
        <v>4.9999999999999982</v>
      </c>
      <c r="S4">
        <f t="shared" si="3"/>
        <v>11.83</v>
      </c>
      <c r="T4">
        <f>S4*Constants!$B$2</f>
        <v>33.123999999999995</v>
      </c>
      <c r="V4">
        <f t="shared" si="4"/>
        <v>0</v>
      </c>
      <c r="W4">
        <f t="shared" si="5"/>
        <v>0</v>
      </c>
      <c r="AA4" s="8"/>
      <c r="AJ4" s="4"/>
    </row>
    <row r="5" spans="1:40" x14ac:dyDescent="0.25">
      <c r="A5">
        <v>4</v>
      </c>
      <c r="B5">
        <v>7</v>
      </c>
      <c r="C5" t="s">
        <v>64</v>
      </c>
      <c r="D5" s="16" t="s">
        <v>776</v>
      </c>
      <c r="F5">
        <v>3.72</v>
      </c>
      <c r="G5" t="s">
        <v>44</v>
      </c>
      <c r="H5">
        <v>0</v>
      </c>
      <c r="I5">
        <f>2*(3.3+1.3)</f>
        <v>9.1999999999999993</v>
      </c>
      <c r="L5">
        <f>Constants!$B$2</f>
        <v>2.8</v>
      </c>
      <c r="M5" t="str">
        <f t="shared" si="6"/>
        <v>N/A</v>
      </c>
      <c r="N5">
        <f>P5*Constants!$E$2</f>
        <v>0</v>
      </c>
      <c r="P5">
        <f t="shared" si="1"/>
        <v>0</v>
      </c>
      <c r="Q5">
        <f>P5*Constants!$B$3</f>
        <v>0</v>
      </c>
      <c r="R5">
        <f t="shared" si="2"/>
        <v>0</v>
      </c>
      <c r="S5">
        <f t="shared" si="3"/>
        <v>9.1999999999999993</v>
      </c>
      <c r="T5">
        <f>S5*Constants!$B$2</f>
        <v>25.759999999999998</v>
      </c>
      <c r="V5">
        <f t="shared" si="4"/>
        <v>0</v>
      </c>
      <c r="W5">
        <f t="shared" si="5"/>
        <v>0</v>
      </c>
      <c r="AA5" s="8"/>
      <c r="AJ5" s="4"/>
    </row>
    <row r="6" spans="1:40" x14ac:dyDescent="0.25">
      <c r="A6">
        <v>5</v>
      </c>
      <c r="B6">
        <v>7</v>
      </c>
      <c r="C6" t="s">
        <v>64</v>
      </c>
      <c r="D6" s="16" t="s">
        <v>777</v>
      </c>
      <c r="F6">
        <v>3.72</v>
      </c>
      <c r="G6" t="s">
        <v>44</v>
      </c>
      <c r="H6">
        <v>0</v>
      </c>
      <c r="I6">
        <f>2*(3.3+1.3)</f>
        <v>9.1999999999999993</v>
      </c>
      <c r="L6">
        <f>Constants!$B$2</f>
        <v>2.8</v>
      </c>
      <c r="M6" t="str">
        <f t="shared" si="6"/>
        <v>N/A</v>
      </c>
      <c r="N6">
        <f>P6*Constants!$E$2</f>
        <v>0</v>
      </c>
      <c r="P6">
        <f t="shared" si="1"/>
        <v>0</v>
      </c>
      <c r="Q6">
        <f>P6*Constants!$B$3</f>
        <v>0</v>
      </c>
      <c r="R6">
        <f t="shared" si="2"/>
        <v>0</v>
      </c>
      <c r="S6">
        <f t="shared" si="3"/>
        <v>9.1999999999999993</v>
      </c>
      <c r="T6">
        <f>S6*Constants!$B$2</f>
        <v>25.759999999999998</v>
      </c>
      <c r="V6">
        <f t="shared" si="4"/>
        <v>0</v>
      </c>
      <c r="W6">
        <f t="shared" si="5"/>
        <v>0</v>
      </c>
      <c r="AA6" s="8"/>
      <c r="AJ6" s="4"/>
    </row>
    <row r="7" spans="1:40" x14ac:dyDescent="0.25">
      <c r="A7">
        <v>6</v>
      </c>
      <c r="B7">
        <v>7</v>
      </c>
      <c r="C7" t="s">
        <v>54</v>
      </c>
      <c r="D7" s="16" t="s">
        <v>778</v>
      </c>
      <c r="F7">
        <v>30</v>
      </c>
      <c r="G7">
        <v>0</v>
      </c>
      <c r="H7">
        <f>1.2*5</f>
        <v>6</v>
      </c>
      <c r="I7">
        <f>2*1.2*(5+4.2)</f>
        <v>22.08</v>
      </c>
      <c r="L7">
        <f>Constants!$B$2</f>
        <v>2.8</v>
      </c>
      <c r="M7">
        <f t="shared" si="6"/>
        <v>0</v>
      </c>
      <c r="N7">
        <f>P7*Constants!$E$2</f>
        <v>10.199999999999999</v>
      </c>
      <c r="P7">
        <f t="shared" si="1"/>
        <v>6</v>
      </c>
      <c r="Q7">
        <f>P7*Constants!$B$3</f>
        <v>25.199999999999996</v>
      </c>
      <c r="R7">
        <f t="shared" si="2"/>
        <v>14.999999999999996</v>
      </c>
      <c r="S7">
        <f t="shared" si="3"/>
        <v>16.079999999999998</v>
      </c>
      <c r="T7">
        <f>S7*Constants!$B$2</f>
        <v>45.023999999999994</v>
      </c>
      <c r="V7">
        <f t="shared" si="4"/>
        <v>0</v>
      </c>
      <c r="W7">
        <f t="shared" si="5"/>
        <v>0</v>
      </c>
      <c r="AA7" s="8"/>
      <c r="AJ7" s="4"/>
    </row>
    <row r="8" spans="1:40" x14ac:dyDescent="0.25">
      <c r="A8">
        <v>7</v>
      </c>
      <c r="B8">
        <v>7</v>
      </c>
      <c r="C8" t="s">
        <v>66</v>
      </c>
      <c r="D8" s="16" t="s">
        <v>779</v>
      </c>
      <c r="F8">
        <v>12.46</v>
      </c>
      <c r="G8" t="s">
        <v>44</v>
      </c>
      <c r="H8">
        <v>0</v>
      </c>
      <c r="I8">
        <f>2*1.2*(2+5)</f>
        <v>16.8</v>
      </c>
      <c r="L8">
        <f>Constants!$B$2</f>
        <v>2.8</v>
      </c>
      <c r="M8" t="str">
        <f t="shared" si="6"/>
        <v>N/A</v>
      </c>
      <c r="N8">
        <f>P8*Constants!$E$2</f>
        <v>0</v>
      </c>
      <c r="P8">
        <f t="shared" si="1"/>
        <v>0</v>
      </c>
      <c r="Q8">
        <f>P8*Constants!$B$3</f>
        <v>0</v>
      </c>
      <c r="R8">
        <f t="shared" si="2"/>
        <v>0</v>
      </c>
      <c r="S8">
        <f t="shared" si="3"/>
        <v>16.8</v>
      </c>
      <c r="T8">
        <f>S8*Constants!$B$2</f>
        <v>47.04</v>
      </c>
      <c r="V8">
        <f t="shared" si="4"/>
        <v>0</v>
      </c>
      <c r="W8">
        <f t="shared" si="5"/>
        <v>0</v>
      </c>
      <c r="AA8" s="8"/>
      <c r="AJ8" s="4"/>
    </row>
    <row r="9" spans="1:40" x14ac:dyDescent="0.25">
      <c r="A9">
        <v>8</v>
      </c>
      <c r="B9">
        <v>7</v>
      </c>
      <c r="C9" t="s">
        <v>55</v>
      </c>
      <c r="D9" s="16" t="s">
        <v>751</v>
      </c>
      <c r="F9">
        <v>30.11</v>
      </c>
      <c r="G9" t="s">
        <v>44</v>
      </c>
      <c r="H9">
        <v>0</v>
      </c>
      <c r="I9">
        <f>2*1.2*(5+3.5)</f>
        <v>20.399999999999999</v>
      </c>
      <c r="L9">
        <f>Constants!$B$2</f>
        <v>2.8</v>
      </c>
      <c r="M9" t="str">
        <f t="shared" si="6"/>
        <v>N/A</v>
      </c>
      <c r="N9">
        <f>P9*Constants!$E$2</f>
        <v>0</v>
      </c>
      <c r="P9">
        <f t="shared" si="1"/>
        <v>0</v>
      </c>
      <c r="Q9">
        <f>P9*Constants!$B$3</f>
        <v>0</v>
      </c>
      <c r="R9">
        <f t="shared" si="2"/>
        <v>0</v>
      </c>
      <c r="S9">
        <f t="shared" si="3"/>
        <v>20.399999999999999</v>
      </c>
      <c r="T9">
        <f>S9*Constants!$B$2</f>
        <v>57.11999999999999</v>
      </c>
      <c r="V9">
        <f t="shared" si="4"/>
        <v>0</v>
      </c>
      <c r="W9">
        <f t="shared" si="5"/>
        <v>0</v>
      </c>
      <c r="AA9" s="8"/>
      <c r="AJ9" s="4"/>
    </row>
    <row r="10" spans="1:40" x14ac:dyDescent="0.25">
      <c r="A10">
        <v>9</v>
      </c>
      <c r="B10">
        <v>7</v>
      </c>
      <c r="C10" t="s">
        <v>55</v>
      </c>
      <c r="D10" s="16" t="s">
        <v>754</v>
      </c>
      <c r="F10">
        <v>23.25</v>
      </c>
      <c r="G10">
        <v>0</v>
      </c>
      <c r="H10">
        <f>4*1.2</f>
        <v>4.8</v>
      </c>
      <c r="I10">
        <f>2*1.2*(4+4.5)</f>
        <v>20.399999999999999</v>
      </c>
      <c r="L10">
        <f>Constants!$B$2</f>
        <v>2.8</v>
      </c>
      <c r="M10">
        <f t="shared" si="6"/>
        <v>0</v>
      </c>
      <c r="N10">
        <f>P10*Constants!$E$2</f>
        <v>8.16</v>
      </c>
      <c r="P10">
        <f t="shared" si="1"/>
        <v>4.8</v>
      </c>
      <c r="Q10">
        <f>P10*Constants!$B$3</f>
        <v>20.159999999999997</v>
      </c>
      <c r="R10">
        <f t="shared" si="2"/>
        <v>11.999999999999996</v>
      </c>
      <c r="S10">
        <f t="shared" si="3"/>
        <v>15.599999999999998</v>
      </c>
      <c r="T10">
        <f>S10*Constants!$B$2</f>
        <v>43.679999999999993</v>
      </c>
      <c r="V10">
        <f t="shared" si="4"/>
        <v>0</v>
      </c>
      <c r="W10">
        <f t="shared" si="5"/>
        <v>0</v>
      </c>
      <c r="AA10" s="8"/>
      <c r="AJ10" s="4"/>
    </row>
    <row r="11" spans="1:40" x14ac:dyDescent="0.25">
      <c r="A11">
        <v>10</v>
      </c>
      <c r="B11">
        <v>7</v>
      </c>
      <c r="C11" t="s">
        <v>50</v>
      </c>
      <c r="D11" s="16" t="s">
        <v>780</v>
      </c>
      <c r="F11">
        <v>27.56</v>
      </c>
      <c r="G11" t="s">
        <v>44</v>
      </c>
      <c r="H11">
        <v>0</v>
      </c>
      <c r="I11">
        <f>2*1.2*(4.5+4.5)</f>
        <v>21.599999999999998</v>
      </c>
      <c r="L11">
        <f>Constants!$B$2</f>
        <v>2.8</v>
      </c>
      <c r="M11" t="str">
        <f t="shared" si="6"/>
        <v>N/A</v>
      </c>
      <c r="N11">
        <f>P11*Constants!$E$2</f>
        <v>0</v>
      </c>
      <c r="P11">
        <f t="shared" si="1"/>
        <v>0</v>
      </c>
      <c r="Q11">
        <f>P11*Constants!$B$3</f>
        <v>0</v>
      </c>
      <c r="R11">
        <f t="shared" si="2"/>
        <v>0</v>
      </c>
      <c r="S11">
        <f t="shared" si="3"/>
        <v>21.599999999999998</v>
      </c>
      <c r="T11">
        <f>S11*Constants!$B$2</f>
        <v>60.47999999999999</v>
      </c>
      <c r="V11">
        <f t="shared" si="4"/>
        <v>0</v>
      </c>
      <c r="W11">
        <f t="shared" si="5"/>
        <v>0</v>
      </c>
      <c r="AA11" s="8"/>
      <c r="AJ11" s="4"/>
    </row>
    <row r="12" spans="1:40" x14ac:dyDescent="0.25">
      <c r="A12">
        <v>11</v>
      </c>
      <c r="B12">
        <v>7</v>
      </c>
      <c r="C12" t="s">
        <v>50</v>
      </c>
      <c r="D12" s="16" t="s">
        <v>781</v>
      </c>
      <c r="F12">
        <v>41.01</v>
      </c>
      <c r="G12" t="s">
        <v>44</v>
      </c>
      <c r="H12">
        <v>0</v>
      </c>
      <c r="I12">
        <f>2*1.2*(5.5+4.5)</f>
        <v>24</v>
      </c>
      <c r="L12">
        <f>Constants!$B$2</f>
        <v>2.8</v>
      </c>
      <c r="M12" t="str">
        <f t="shared" ref="M12:M27" si="7">IF(N12&gt;0,G12,"N/A")</f>
        <v>N/A</v>
      </c>
      <c r="N12">
        <f>P12*Constants!$E$2</f>
        <v>0</v>
      </c>
      <c r="P12">
        <f t="shared" ref="P12:P27" si="8">H12</f>
        <v>0</v>
      </c>
      <c r="Q12">
        <f>P12*Constants!$B$3</f>
        <v>0</v>
      </c>
      <c r="R12">
        <f t="shared" ref="R12:R27" si="9">IF(Q12-N12&lt;=0, 0, Q12-N12)</f>
        <v>0</v>
      </c>
      <c r="S12">
        <f t="shared" ref="S12:S27" si="10">I12-P12</f>
        <v>24</v>
      </c>
      <c r="T12">
        <f>S12*Constants!$B$2</f>
        <v>67.199999999999989</v>
      </c>
      <c r="V12">
        <f t="shared" ref="V12:V27" si="11">IF(B12="E",1,0)</f>
        <v>0</v>
      </c>
      <c r="W12">
        <f t="shared" ref="W12:W27" si="12">IF(B12=10,1,0)</f>
        <v>0</v>
      </c>
      <c r="AA12" s="8"/>
      <c r="AJ12" s="4"/>
    </row>
    <row r="13" spans="1:40" x14ac:dyDescent="0.25">
      <c r="A13">
        <v>12</v>
      </c>
      <c r="B13">
        <v>7</v>
      </c>
      <c r="C13" t="s">
        <v>62</v>
      </c>
      <c r="D13" t="s">
        <v>757</v>
      </c>
      <c r="F13">
        <v>20.56</v>
      </c>
      <c r="G13">
        <v>0</v>
      </c>
      <c r="H13">
        <v>4</v>
      </c>
      <c r="I13">
        <f>2*(4+6.4)</f>
        <v>20.8</v>
      </c>
      <c r="L13">
        <f>Constants!$B$2</f>
        <v>2.8</v>
      </c>
      <c r="M13">
        <f t="shared" si="7"/>
        <v>0</v>
      </c>
      <c r="N13">
        <f>P13*Constants!$E$2</f>
        <v>6.8</v>
      </c>
      <c r="P13">
        <f t="shared" si="8"/>
        <v>4</v>
      </c>
      <c r="Q13">
        <f>P13*Constants!$B$3</f>
        <v>16.799999999999997</v>
      </c>
      <c r="R13">
        <f t="shared" si="9"/>
        <v>9.9999999999999964</v>
      </c>
      <c r="S13">
        <f t="shared" si="10"/>
        <v>16.8</v>
      </c>
      <c r="T13">
        <f>S13*Constants!$B$2</f>
        <v>47.04</v>
      </c>
      <c r="V13">
        <f t="shared" si="11"/>
        <v>0</v>
      </c>
      <c r="W13">
        <f t="shared" si="12"/>
        <v>0</v>
      </c>
      <c r="AA13" s="8"/>
      <c r="AJ13" s="4"/>
    </row>
    <row r="14" spans="1:40" x14ac:dyDescent="0.25">
      <c r="A14">
        <v>13</v>
      </c>
      <c r="B14">
        <v>7</v>
      </c>
      <c r="C14" t="s">
        <v>64</v>
      </c>
      <c r="D14" s="16" t="s">
        <v>758</v>
      </c>
      <c r="F14">
        <v>3.72</v>
      </c>
      <c r="G14" t="s">
        <v>44</v>
      </c>
      <c r="H14">
        <v>0</v>
      </c>
      <c r="I14">
        <f>2*1.2*(2.5+1.5)</f>
        <v>9.6</v>
      </c>
      <c r="L14">
        <f>Constants!$B$2</f>
        <v>2.8</v>
      </c>
      <c r="M14" t="str">
        <f t="shared" si="7"/>
        <v>N/A</v>
      </c>
      <c r="N14">
        <f>P14*Constants!$E$2</f>
        <v>0</v>
      </c>
      <c r="P14">
        <f t="shared" si="8"/>
        <v>0</v>
      </c>
      <c r="Q14">
        <f>P14*Constants!$B$3</f>
        <v>0</v>
      </c>
      <c r="R14">
        <f t="shared" si="9"/>
        <v>0</v>
      </c>
      <c r="S14">
        <f t="shared" si="10"/>
        <v>9.6</v>
      </c>
      <c r="T14">
        <f>S14*Constants!$B$2</f>
        <v>26.88</v>
      </c>
      <c r="V14">
        <f t="shared" si="11"/>
        <v>0</v>
      </c>
      <c r="W14">
        <f t="shared" si="12"/>
        <v>0</v>
      </c>
      <c r="AA14" s="8"/>
      <c r="AJ14" s="4"/>
    </row>
    <row r="15" spans="1:40" x14ac:dyDescent="0.25">
      <c r="A15">
        <v>14</v>
      </c>
      <c r="B15">
        <v>7</v>
      </c>
      <c r="C15" t="s">
        <v>64</v>
      </c>
      <c r="D15" s="16" t="s">
        <v>830</v>
      </c>
      <c r="F15">
        <v>3.72</v>
      </c>
      <c r="G15" t="s">
        <v>44</v>
      </c>
      <c r="H15">
        <v>0</v>
      </c>
      <c r="I15">
        <f>2*1.2*(2.5+1.5)</f>
        <v>9.6</v>
      </c>
      <c r="L15">
        <f>Constants!$B$2</f>
        <v>2.8</v>
      </c>
      <c r="M15" t="str">
        <f t="shared" si="7"/>
        <v>N/A</v>
      </c>
      <c r="N15">
        <f>P15*Constants!$E$2</f>
        <v>0</v>
      </c>
      <c r="P15">
        <f>H15</f>
        <v>0</v>
      </c>
      <c r="Q15">
        <f>P15*Constants!$B$3</f>
        <v>0</v>
      </c>
      <c r="R15">
        <f t="shared" si="9"/>
        <v>0</v>
      </c>
      <c r="S15">
        <f>I15-P15</f>
        <v>9.6</v>
      </c>
      <c r="T15">
        <f>S15*Constants!$B$2</f>
        <v>26.88</v>
      </c>
      <c r="V15">
        <f t="shared" si="11"/>
        <v>0</v>
      </c>
      <c r="W15">
        <f t="shared" si="12"/>
        <v>0</v>
      </c>
      <c r="AA15" s="8"/>
      <c r="AJ15" s="4"/>
    </row>
    <row r="16" spans="1:40" x14ac:dyDescent="0.25">
      <c r="A16">
        <v>15</v>
      </c>
      <c r="B16">
        <v>7</v>
      </c>
      <c r="C16" t="s">
        <v>59</v>
      </c>
      <c r="D16" s="16" t="s">
        <v>747</v>
      </c>
      <c r="F16">
        <v>29.85</v>
      </c>
      <c r="G16">
        <v>0</v>
      </c>
      <c r="H16">
        <v>6</v>
      </c>
      <c r="I16">
        <f>2*1.2*(4+5.1)</f>
        <v>21.84</v>
      </c>
      <c r="L16">
        <f>Constants!$B$2</f>
        <v>2.8</v>
      </c>
      <c r="M16">
        <f t="shared" si="7"/>
        <v>0</v>
      </c>
      <c r="N16">
        <f>P16*Constants!$E$2</f>
        <v>10.199999999999999</v>
      </c>
      <c r="P16">
        <f t="shared" si="8"/>
        <v>6</v>
      </c>
      <c r="Q16">
        <f>P16*Constants!$B$3</f>
        <v>25.199999999999996</v>
      </c>
      <c r="R16">
        <f t="shared" si="9"/>
        <v>14.999999999999996</v>
      </c>
      <c r="S16">
        <f t="shared" si="10"/>
        <v>15.84</v>
      </c>
      <c r="T16">
        <f>S16*Constants!$B$2</f>
        <v>44.351999999999997</v>
      </c>
      <c r="V16">
        <f t="shared" si="11"/>
        <v>0</v>
      </c>
      <c r="W16">
        <f t="shared" si="12"/>
        <v>0</v>
      </c>
      <c r="AA16" s="8"/>
      <c r="AJ16" s="4"/>
    </row>
    <row r="17" spans="1:36" x14ac:dyDescent="0.25">
      <c r="A17">
        <v>16</v>
      </c>
      <c r="B17">
        <v>7</v>
      </c>
      <c r="C17" t="s">
        <v>45</v>
      </c>
      <c r="D17" s="16" t="s">
        <v>748</v>
      </c>
      <c r="F17">
        <v>13.25</v>
      </c>
      <c r="G17" t="s">
        <v>44</v>
      </c>
      <c r="H17">
        <v>0</v>
      </c>
      <c r="I17">
        <f>2*1.2*(2.5+4)</f>
        <v>15.6</v>
      </c>
      <c r="L17">
        <f>Constants!$B$2</f>
        <v>2.8</v>
      </c>
      <c r="M17" t="str">
        <f t="shared" si="7"/>
        <v>N/A</v>
      </c>
      <c r="N17">
        <f>P17*Constants!$E$2</f>
        <v>0</v>
      </c>
      <c r="P17">
        <f t="shared" si="8"/>
        <v>0</v>
      </c>
      <c r="Q17">
        <f>P17*Constants!$B$3</f>
        <v>0</v>
      </c>
      <c r="R17">
        <f t="shared" si="9"/>
        <v>0</v>
      </c>
      <c r="S17">
        <f t="shared" si="10"/>
        <v>15.6</v>
      </c>
      <c r="T17">
        <f>S17*Constants!$B$2</f>
        <v>43.68</v>
      </c>
      <c r="V17">
        <f t="shared" si="11"/>
        <v>0</v>
      </c>
      <c r="W17">
        <f t="shared" si="12"/>
        <v>0</v>
      </c>
      <c r="AA17" s="8"/>
      <c r="AJ17" s="4"/>
    </row>
    <row r="18" spans="1:36" x14ac:dyDescent="0.25">
      <c r="A18">
        <v>17</v>
      </c>
      <c r="B18">
        <v>7</v>
      </c>
      <c r="C18" t="s">
        <v>62</v>
      </c>
      <c r="D18" s="16" t="s">
        <v>782</v>
      </c>
      <c r="F18">
        <v>9.91</v>
      </c>
      <c r="G18" t="s">
        <v>44</v>
      </c>
      <c r="H18">
        <v>0</v>
      </c>
      <c r="I18">
        <f>2*1.2*(1.5+4)</f>
        <v>13.2</v>
      </c>
      <c r="L18">
        <f>Constants!$B$2</f>
        <v>2.8</v>
      </c>
      <c r="M18" t="str">
        <f t="shared" si="7"/>
        <v>N/A</v>
      </c>
      <c r="N18">
        <f>P18*Constants!$E$2</f>
        <v>0</v>
      </c>
      <c r="P18">
        <f t="shared" si="8"/>
        <v>0</v>
      </c>
      <c r="Q18">
        <f>P18*Constants!$B$3</f>
        <v>0</v>
      </c>
      <c r="R18">
        <f t="shared" si="9"/>
        <v>0</v>
      </c>
      <c r="S18">
        <f t="shared" si="10"/>
        <v>13.2</v>
      </c>
      <c r="T18">
        <f>S18*Constants!$B$2</f>
        <v>36.959999999999994</v>
      </c>
      <c r="V18">
        <f t="shared" si="11"/>
        <v>0</v>
      </c>
      <c r="W18">
        <f t="shared" si="12"/>
        <v>0</v>
      </c>
      <c r="AA18" s="8"/>
      <c r="AJ18" s="4"/>
    </row>
    <row r="19" spans="1:36" x14ac:dyDescent="0.25">
      <c r="A19">
        <v>18</v>
      </c>
      <c r="B19">
        <v>7</v>
      </c>
      <c r="C19" t="s">
        <v>45</v>
      </c>
      <c r="D19" s="16" t="s">
        <v>783</v>
      </c>
      <c r="F19">
        <v>1.93</v>
      </c>
      <c r="G19" t="s">
        <v>44</v>
      </c>
      <c r="H19">
        <v>0</v>
      </c>
      <c r="I19">
        <f>2*1.2*(1.3+1)</f>
        <v>5.52</v>
      </c>
      <c r="L19">
        <f>Constants!$B$2</f>
        <v>2.8</v>
      </c>
      <c r="M19" t="str">
        <f t="shared" si="7"/>
        <v>N/A</v>
      </c>
      <c r="N19">
        <f>P19*Constants!$E$2</f>
        <v>0</v>
      </c>
      <c r="P19">
        <f t="shared" si="8"/>
        <v>0</v>
      </c>
      <c r="Q19">
        <f>P19*Constants!$B$3</f>
        <v>0</v>
      </c>
      <c r="R19">
        <f t="shared" si="9"/>
        <v>0</v>
      </c>
      <c r="S19">
        <f t="shared" si="10"/>
        <v>5.52</v>
      </c>
      <c r="T19">
        <f>S19*Constants!$B$2</f>
        <v>15.455999999999998</v>
      </c>
      <c r="V19">
        <f t="shared" si="11"/>
        <v>0</v>
      </c>
      <c r="W19">
        <f t="shared" si="12"/>
        <v>0</v>
      </c>
      <c r="AA19" s="8"/>
      <c r="AJ19" s="4"/>
    </row>
    <row r="20" spans="1:36" x14ac:dyDescent="0.25">
      <c r="A20">
        <v>19</v>
      </c>
      <c r="B20">
        <v>7</v>
      </c>
      <c r="C20" t="s">
        <v>59</v>
      </c>
      <c r="D20" s="16" t="s">
        <v>750</v>
      </c>
      <c r="F20">
        <v>43.11</v>
      </c>
      <c r="G20">
        <v>0</v>
      </c>
      <c r="H20">
        <v>6</v>
      </c>
      <c r="I20">
        <f>2*1.2*(5+7.5)</f>
        <v>30</v>
      </c>
      <c r="L20">
        <f>Constants!$B$2</f>
        <v>2.8</v>
      </c>
      <c r="M20">
        <f t="shared" si="7"/>
        <v>0</v>
      </c>
      <c r="N20">
        <f>P20*Constants!$E$2</f>
        <v>10.199999999999999</v>
      </c>
      <c r="P20">
        <f t="shared" si="8"/>
        <v>6</v>
      </c>
      <c r="Q20">
        <f>P20*Constants!$B$3</f>
        <v>25.199999999999996</v>
      </c>
      <c r="R20">
        <f t="shared" si="9"/>
        <v>14.999999999999996</v>
      </c>
      <c r="S20">
        <f t="shared" si="10"/>
        <v>24</v>
      </c>
      <c r="T20">
        <f>S20*Constants!$B$2</f>
        <v>67.199999999999989</v>
      </c>
      <c r="V20">
        <f t="shared" si="11"/>
        <v>0</v>
      </c>
      <c r="W20">
        <f t="shared" si="12"/>
        <v>0</v>
      </c>
      <c r="AA20" s="8"/>
      <c r="AJ20" s="4"/>
    </row>
    <row r="21" spans="1:36" x14ac:dyDescent="0.25">
      <c r="A21">
        <v>20</v>
      </c>
      <c r="B21">
        <v>7</v>
      </c>
      <c r="C21" t="s">
        <v>62</v>
      </c>
      <c r="D21" t="s">
        <v>759</v>
      </c>
      <c r="F21">
        <v>20.56</v>
      </c>
      <c r="G21">
        <v>0</v>
      </c>
      <c r="H21">
        <v>4</v>
      </c>
      <c r="I21">
        <f>2*(4+6.4)</f>
        <v>20.8</v>
      </c>
      <c r="L21">
        <f>Constants!$B$2</f>
        <v>2.8</v>
      </c>
      <c r="M21">
        <f t="shared" si="7"/>
        <v>0</v>
      </c>
      <c r="N21">
        <f>P21*Constants!$E$2</f>
        <v>6.8</v>
      </c>
      <c r="P21">
        <f t="shared" si="8"/>
        <v>4</v>
      </c>
      <c r="Q21">
        <f>P21*Constants!$B$3</f>
        <v>16.799999999999997</v>
      </c>
      <c r="R21">
        <f t="shared" si="9"/>
        <v>9.9999999999999964</v>
      </c>
      <c r="S21">
        <f t="shared" si="10"/>
        <v>16.8</v>
      </c>
      <c r="T21">
        <f>S21*Constants!$B$2</f>
        <v>47.04</v>
      </c>
      <c r="V21">
        <f t="shared" si="11"/>
        <v>0</v>
      </c>
      <c r="W21">
        <f t="shared" si="12"/>
        <v>0</v>
      </c>
      <c r="AA21" s="8"/>
      <c r="AJ21" s="4"/>
    </row>
    <row r="22" spans="1:36" x14ac:dyDescent="0.25">
      <c r="A22">
        <v>21</v>
      </c>
      <c r="B22">
        <v>7</v>
      </c>
      <c r="C22" t="s">
        <v>64</v>
      </c>
      <c r="D22" s="16" t="s">
        <v>753</v>
      </c>
      <c r="F22">
        <v>3.72</v>
      </c>
      <c r="G22" t="s">
        <v>44</v>
      </c>
      <c r="H22">
        <v>0</v>
      </c>
      <c r="I22">
        <f>2*1.2*(2.5+1.5)</f>
        <v>9.6</v>
      </c>
      <c r="L22">
        <f>Constants!$B$2</f>
        <v>2.8</v>
      </c>
      <c r="M22" t="str">
        <f t="shared" si="7"/>
        <v>N/A</v>
      </c>
      <c r="N22">
        <f>P22*Constants!$E$2</f>
        <v>0</v>
      </c>
      <c r="P22">
        <f t="shared" si="8"/>
        <v>0</v>
      </c>
      <c r="Q22">
        <f>P22*Constants!$B$3</f>
        <v>0</v>
      </c>
      <c r="R22">
        <f t="shared" si="9"/>
        <v>0</v>
      </c>
      <c r="S22">
        <f t="shared" si="10"/>
        <v>9.6</v>
      </c>
      <c r="T22">
        <f>S22*Constants!$B$2</f>
        <v>26.88</v>
      </c>
      <c r="V22">
        <f t="shared" si="11"/>
        <v>0</v>
      </c>
      <c r="W22">
        <f t="shared" si="12"/>
        <v>0</v>
      </c>
      <c r="AA22" s="8"/>
      <c r="AJ22" s="4"/>
    </row>
    <row r="23" spans="1:36" x14ac:dyDescent="0.25">
      <c r="A23">
        <v>22</v>
      </c>
      <c r="B23">
        <v>7</v>
      </c>
      <c r="C23" t="s">
        <v>64</v>
      </c>
      <c r="D23" s="16" t="s">
        <v>760</v>
      </c>
      <c r="F23">
        <v>3.72</v>
      </c>
      <c r="G23" t="s">
        <v>44</v>
      </c>
      <c r="H23">
        <v>0</v>
      </c>
      <c r="I23">
        <f>2*1.2*(2.5+1.5)</f>
        <v>9.6</v>
      </c>
      <c r="L23">
        <f>Constants!$B$2</f>
        <v>2.8</v>
      </c>
      <c r="M23" t="str">
        <f t="shared" si="7"/>
        <v>N/A</v>
      </c>
      <c r="N23">
        <f>P23*Constants!$E$2</f>
        <v>0</v>
      </c>
      <c r="P23">
        <f t="shared" si="8"/>
        <v>0</v>
      </c>
      <c r="Q23">
        <f>P23*Constants!$B$3</f>
        <v>0</v>
      </c>
      <c r="R23">
        <f t="shared" si="9"/>
        <v>0</v>
      </c>
      <c r="S23">
        <f t="shared" si="10"/>
        <v>9.6</v>
      </c>
      <c r="T23">
        <f>S23*Constants!$B$2</f>
        <v>26.88</v>
      </c>
      <c r="V23">
        <f t="shared" si="11"/>
        <v>0</v>
      </c>
      <c r="W23">
        <f t="shared" si="12"/>
        <v>0</v>
      </c>
      <c r="AA23" s="8"/>
      <c r="AJ23" s="4"/>
    </row>
    <row r="24" spans="1:36" x14ac:dyDescent="0.25">
      <c r="A24">
        <v>23</v>
      </c>
      <c r="B24">
        <v>7</v>
      </c>
      <c r="C24" t="s">
        <v>59</v>
      </c>
      <c r="D24" s="16" t="s">
        <v>761</v>
      </c>
      <c r="E24" s="16"/>
      <c r="F24">
        <v>32.97</v>
      </c>
      <c r="G24">
        <v>0</v>
      </c>
      <c r="H24">
        <v>6</v>
      </c>
      <c r="I24">
        <f>2*1.2*(4.1+6)</f>
        <v>24.24</v>
      </c>
      <c r="L24">
        <f>Constants!$B$2</f>
        <v>2.8</v>
      </c>
      <c r="M24">
        <f t="shared" si="7"/>
        <v>0</v>
      </c>
      <c r="N24">
        <f>P24*Constants!$E$2</f>
        <v>10.199999999999999</v>
      </c>
      <c r="P24">
        <f t="shared" si="8"/>
        <v>6</v>
      </c>
      <c r="Q24">
        <f>P24*Constants!$B$3</f>
        <v>25.199999999999996</v>
      </c>
      <c r="R24">
        <f t="shared" si="9"/>
        <v>14.999999999999996</v>
      </c>
      <c r="S24">
        <f t="shared" si="10"/>
        <v>18.239999999999998</v>
      </c>
      <c r="T24">
        <f>S24*Constants!$B$2</f>
        <v>51.071999999999996</v>
      </c>
      <c r="V24">
        <f t="shared" si="11"/>
        <v>0</v>
      </c>
      <c r="W24">
        <f t="shared" si="12"/>
        <v>0</v>
      </c>
      <c r="AA24" s="8"/>
      <c r="AJ24" s="4"/>
    </row>
    <row r="25" spans="1:36" x14ac:dyDescent="0.25">
      <c r="A25">
        <v>24</v>
      </c>
      <c r="B25">
        <v>7</v>
      </c>
      <c r="C25" t="s">
        <v>59</v>
      </c>
      <c r="D25" s="16" t="s">
        <v>762</v>
      </c>
      <c r="F25">
        <v>13.97</v>
      </c>
      <c r="G25" t="s">
        <v>44</v>
      </c>
      <c r="H25">
        <v>0</v>
      </c>
      <c r="I25">
        <f>2*1.2*(3+3.5)</f>
        <v>15.6</v>
      </c>
      <c r="L25">
        <f>Constants!$B$2</f>
        <v>2.8</v>
      </c>
      <c r="M25" t="str">
        <f t="shared" si="7"/>
        <v>N/A</v>
      </c>
      <c r="N25">
        <f>P25*Constants!$E$2</f>
        <v>0</v>
      </c>
      <c r="P25">
        <f t="shared" si="8"/>
        <v>0</v>
      </c>
      <c r="Q25">
        <f>P25*Constants!$B$3</f>
        <v>0</v>
      </c>
      <c r="R25">
        <f t="shared" si="9"/>
        <v>0</v>
      </c>
      <c r="S25">
        <f t="shared" si="10"/>
        <v>15.6</v>
      </c>
      <c r="T25">
        <f>S25*Constants!$B$2</f>
        <v>43.68</v>
      </c>
      <c r="V25">
        <f t="shared" si="11"/>
        <v>0</v>
      </c>
      <c r="W25">
        <f t="shared" si="12"/>
        <v>0</v>
      </c>
      <c r="AA25" s="8"/>
      <c r="AJ25" s="4"/>
    </row>
    <row r="26" spans="1:36" x14ac:dyDescent="0.25">
      <c r="A26">
        <v>25</v>
      </c>
      <c r="B26">
        <v>7</v>
      </c>
      <c r="C26" t="s">
        <v>64</v>
      </c>
      <c r="D26" s="16" t="s">
        <v>756</v>
      </c>
      <c r="F26">
        <v>3.56</v>
      </c>
      <c r="G26" t="s">
        <v>44</v>
      </c>
      <c r="H26">
        <v>0</v>
      </c>
      <c r="I26">
        <f>2*1.2*(2+1.5)</f>
        <v>8.4</v>
      </c>
      <c r="L26">
        <f>Constants!$B$2</f>
        <v>2.8</v>
      </c>
      <c r="M26" t="str">
        <f t="shared" si="7"/>
        <v>N/A</v>
      </c>
      <c r="N26">
        <f>P26*Constants!$E$2</f>
        <v>0</v>
      </c>
      <c r="P26">
        <f t="shared" si="8"/>
        <v>0</v>
      </c>
      <c r="Q26">
        <f>P26*Constants!$B$3</f>
        <v>0</v>
      </c>
      <c r="R26">
        <f t="shared" si="9"/>
        <v>0</v>
      </c>
      <c r="S26">
        <f t="shared" si="10"/>
        <v>8.4</v>
      </c>
      <c r="T26">
        <f>S26*Constants!$B$2</f>
        <v>23.52</v>
      </c>
      <c r="V26">
        <f t="shared" si="11"/>
        <v>0</v>
      </c>
      <c r="W26">
        <f t="shared" si="12"/>
        <v>0</v>
      </c>
      <c r="AA26" s="8"/>
      <c r="AJ26" s="4"/>
    </row>
    <row r="27" spans="1:36" x14ac:dyDescent="0.25">
      <c r="A27">
        <v>26</v>
      </c>
      <c r="B27">
        <v>7</v>
      </c>
      <c r="C27" t="s">
        <v>64</v>
      </c>
      <c r="D27" s="16" t="s">
        <v>755</v>
      </c>
      <c r="F27">
        <v>3.56</v>
      </c>
      <c r="G27" t="s">
        <v>44</v>
      </c>
      <c r="H27">
        <v>0</v>
      </c>
      <c r="I27">
        <f>2*1.2*(2+1.5)</f>
        <v>8.4</v>
      </c>
      <c r="L27">
        <f>Constants!$B$2</f>
        <v>2.8</v>
      </c>
      <c r="M27" t="str">
        <f t="shared" si="7"/>
        <v>N/A</v>
      </c>
      <c r="N27">
        <f>P27*Constants!$E$2</f>
        <v>0</v>
      </c>
      <c r="P27">
        <f t="shared" si="8"/>
        <v>0</v>
      </c>
      <c r="Q27">
        <f>P27*Constants!$B$3</f>
        <v>0</v>
      </c>
      <c r="R27">
        <f t="shared" si="9"/>
        <v>0</v>
      </c>
      <c r="S27">
        <f t="shared" si="10"/>
        <v>8.4</v>
      </c>
      <c r="T27">
        <f>S27*Constants!$B$2</f>
        <v>23.52</v>
      </c>
      <c r="V27">
        <f t="shared" si="11"/>
        <v>0</v>
      </c>
      <c r="W27">
        <f t="shared" si="12"/>
        <v>0</v>
      </c>
      <c r="AA27" s="8"/>
      <c r="AJ27" s="4"/>
    </row>
    <row r="28" spans="1:36" x14ac:dyDescent="0.25">
      <c r="A28">
        <v>27</v>
      </c>
      <c r="B28">
        <v>7</v>
      </c>
      <c r="C28" t="s">
        <v>45</v>
      </c>
      <c r="D28" s="16" t="s">
        <v>765</v>
      </c>
      <c r="E28" s="16"/>
      <c r="F28">
        <v>40.159999999999997</v>
      </c>
      <c r="G28" t="s">
        <v>44</v>
      </c>
      <c r="H28">
        <v>0</v>
      </c>
      <c r="I28">
        <f>2*1.2*(6.5+4.5)</f>
        <v>26.4</v>
      </c>
      <c r="L28">
        <f>Constants!$B$2</f>
        <v>2.8</v>
      </c>
      <c r="M28" t="str">
        <f t="shared" ref="M28:M31" si="13">IF(N28&gt;0,G28,"N/A")</f>
        <v>N/A</v>
      </c>
      <c r="N28">
        <f>P28*Constants!$E$2</f>
        <v>0</v>
      </c>
      <c r="P28">
        <f t="shared" ref="P28:P31" si="14">H28</f>
        <v>0</v>
      </c>
      <c r="Q28">
        <f>P28*Constants!$B$3</f>
        <v>0</v>
      </c>
      <c r="R28">
        <f t="shared" ref="R28:R31" si="15">IF(Q28-N28&lt;=0, 0, Q28-N28)</f>
        <v>0</v>
      </c>
      <c r="S28">
        <f t="shared" ref="S28:S31" si="16">I28-P28</f>
        <v>26.4</v>
      </c>
      <c r="T28">
        <f>S28*Constants!$B$2</f>
        <v>73.919999999999987</v>
      </c>
      <c r="V28">
        <f t="shared" ref="V28:V31" si="17">IF(B28="E",1,0)</f>
        <v>0</v>
      </c>
      <c r="W28">
        <f t="shared" ref="W28:W31" si="18">IF(B28=10,1,0)</f>
        <v>0</v>
      </c>
      <c r="AA28" s="8"/>
      <c r="AJ28" s="4"/>
    </row>
    <row r="29" spans="1:36" x14ac:dyDescent="0.25">
      <c r="A29">
        <v>28</v>
      </c>
      <c r="B29">
        <v>7</v>
      </c>
      <c r="C29" t="s">
        <v>55</v>
      </c>
      <c r="D29" s="16" t="s">
        <v>784</v>
      </c>
      <c r="F29">
        <v>7.9</v>
      </c>
      <c r="G29" t="s">
        <v>44</v>
      </c>
      <c r="H29">
        <v>0</v>
      </c>
      <c r="I29">
        <f>2*1.2*(1.5+3.5)</f>
        <v>12</v>
      </c>
      <c r="L29">
        <f>Constants!$B$2</f>
        <v>2.8</v>
      </c>
      <c r="M29" t="str">
        <f t="shared" si="13"/>
        <v>N/A</v>
      </c>
      <c r="N29">
        <f>P29*Constants!$E$2</f>
        <v>0</v>
      </c>
      <c r="P29">
        <f t="shared" si="14"/>
        <v>0</v>
      </c>
      <c r="Q29">
        <f>P29*Constants!$B$3</f>
        <v>0</v>
      </c>
      <c r="R29">
        <f t="shared" si="15"/>
        <v>0</v>
      </c>
      <c r="S29">
        <f t="shared" si="16"/>
        <v>12</v>
      </c>
      <c r="T29">
        <f>S29*Constants!$B$2</f>
        <v>33.599999999999994</v>
      </c>
      <c r="V29">
        <f t="shared" si="17"/>
        <v>0</v>
      </c>
      <c r="W29">
        <f t="shared" si="18"/>
        <v>0</v>
      </c>
      <c r="AA29" s="8"/>
      <c r="AJ29" s="4"/>
    </row>
    <row r="30" spans="1:36" x14ac:dyDescent="0.25">
      <c r="A30">
        <v>29</v>
      </c>
      <c r="B30">
        <v>7</v>
      </c>
      <c r="C30" t="s">
        <v>55</v>
      </c>
      <c r="D30" s="16" t="s">
        <v>763</v>
      </c>
      <c r="F30">
        <v>21.28</v>
      </c>
      <c r="G30" t="s">
        <v>44</v>
      </c>
      <c r="H30">
        <v>0</v>
      </c>
      <c r="I30">
        <f>2*1.2*(5+5)</f>
        <v>24</v>
      </c>
      <c r="L30">
        <f>Constants!$B$2</f>
        <v>2.8</v>
      </c>
      <c r="M30" t="str">
        <f t="shared" si="13"/>
        <v>N/A</v>
      </c>
      <c r="N30">
        <f>P30*Constants!$E$2</f>
        <v>0</v>
      </c>
      <c r="P30">
        <f t="shared" si="14"/>
        <v>0</v>
      </c>
      <c r="Q30">
        <f>P30*Constants!$B$3</f>
        <v>0</v>
      </c>
      <c r="R30">
        <f t="shared" si="15"/>
        <v>0</v>
      </c>
      <c r="S30">
        <f t="shared" si="16"/>
        <v>24</v>
      </c>
      <c r="T30">
        <f>S30*Constants!$B$2</f>
        <v>67.199999999999989</v>
      </c>
      <c r="V30">
        <f t="shared" si="17"/>
        <v>0</v>
      </c>
      <c r="W30">
        <f t="shared" si="18"/>
        <v>0</v>
      </c>
      <c r="AA30" s="8"/>
      <c r="AJ30" s="4"/>
    </row>
    <row r="31" spans="1:36" x14ac:dyDescent="0.25">
      <c r="A31">
        <v>30</v>
      </c>
      <c r="B31">
        <v>7</v>
      </c>
      <c r="C31" t="s">
        <v>55</v>
      </c>
      <c r="D31" s="16" t="s">
        <v>764</v>
      </c>
      <c r="F31">
        <v>23.1</v>
      </c>
      <c r="G31">
        <v>0</v>
      </c>
      <c r="H31">
        <v>3</v>
      </c>
      <c r="I31">
        <f>2*1.2*(4.1+4.1)</f>
        <v>19.679999999999996</v>
      </c>
      <c r="L31">
        <f>Constants!$B$2</f>
        <v>2.8</v>
      </c>
      <c r="M31">
        <f t="shared" si="13"/>
        <v>0</v>
      </c>
      <c r="N31">
        <f>P31*Constants!$E$2</f>
        <v>5.0999999999999996</v>
      </c>
      <c r="P31">
        <f t="shared" si="14"/>
        <v>3</v>
      </c>
      <c r="Q31">
        <f>P31*Constants!$B$3</f>
        <v>12.599999999999998</v>
      </c>
      <c r="R31">
        <f t="shared" si="15"/>
        <v>7.4999999999999982</v>
      </c>
      <c r="S31">
        <f t="shared" si="16"/>
        <v>16.679999999999996</v>
      </c>
      <c r="T31">
        <f>S31*Constants!$B$2</f>
        <v>46.703999999999986</v>
      </c>
      <c r="V31">
        <f t="shared" si="17"/>
        <v>0</v>
      </c>
      <c r="W31">
        <f t="shared" si="18"/>
        <v>0</v>
      </c>
      <c r="AA31" s="8"/>
      <c r="AJ31" s="4"/>
    </row>
    <row r="32" spans="1:36" x14ac:dyDescent="0.25">
      <c r="A32">
        <v>31</v>
      </c>
      <c r="B32">
        <v>7</v>
      </c>
      <c r="C32" t="s">
        <v>45</v>
      </c>
      <c r="D32" s="16" t="s">
        <v>766</v>
      </c>
      <c r="E32" s="16"/>
      <c r="F32">
        <v>38.72</v>
      </c>
      <c r="G32" t="s">
        <v>44</v>
      </c>
      <c r="H32">
        <v>0</v>
      </c>
      <c r="I32">
        <f>2*1.2*(6.5+4.5)</f>
        <v>26.4</v>
      </c>
      <c r="L32">
        <f>Constants!$B$2</f>
        <v>2.8</v>
      </c>
      <c r="M32" t="str">
        <f t="shared" ref="M32:M35" si="19">IF(N32&gt;0,G32,"N/A")</f>
        <v>N/A</v>
      </c>
      <c r="N32">
        <f>P32*Constants!$E$2</f>
        <v>0</v>
      </c>
      <c r="P32">
        <f t="shared" ref="P32:P35" si="20">H32</f>
        <v>0</v>
      </c>
      <c r="Q32">
        <f>P32*Constants!$B$3</f>
        <v>0</v>
      </c>
      <c r="R32">
        <f t="shared" ref="R32:R35" si="21">IF(Q32-N32&lt;=0, 0, Q32-N32)</f>
        <v>0</v>
      </c>
      <c r="S32">
        <f t="shared" ref="S32:S35" si="22">I32-P32</f>
        <v>26.4</v>
      </c>
      <c r="T32">
        <f>S32*Constants!$B$2</f>
        <v>73.919999999999987</v>
      </c>
      <c r="V32">
        <f t="shared" ref="V32:V35" si="23">IF(B32="E",1,0)</f>
        <v>0</v>
      </c>
      <c r="W32">
        <f t="shared" ref="W32:W35" si="24">IF(B32=10,1,0)</f>
        <v>0</v>
      </c>
      <c r="AA32" s="8"/>
      <c r="AJ32" s="4"/>
    </row>
    <row r="33" spans="1:36" x14ac:dyDescent="0.25">
      <c r="A33">
        <v>32</v>
      </c>
      <c r="B33">
        <v>7</v>
      </c>
      <c r="C33" t="s">
        <v>62</v>
      </c>
      <c r="D33" s="16" t="s">
        <v>769</v>
      </c>
      <c r="F33">
        <v>20.56</v>
      </c>
      <c r="G33">
        <v>0</v>
      </c>
      <c r="H33">
        <v>4</v>
      </c>
      <c r="I33">
        <f>2*(4+6.4)</f>
        <v>20.8</v>
      </c>
      <c r="L33">
        <f>Constants!$B$2</f>
        <v>2.8</v>
      </c>
      <c r="M33">
        <f t="shared" si="19"/>
        <v>0</v>
      </c>
      <c r="N33">
        <f>P33*Constants!$E$2</f>
        <v>6.8</v>
      </c>
      <c r="P33">
        <f t="shared" si="20"/>
        <v>4</v>
      </c>
      <c r="Q33">
        <f>P33*Constants!$B$3</f>
        <v>16.799999999999997</v>
      </c>
      <c r="R33">
        <f t="shared" si="21"/>
        <v>9.9999999999999964</v>
      </c>
      <c r="S33">
        <f t="shared" si="22"/>
        <v>16.8</v>
      </c>
      <c r="T33">
        <f>S33*Constants!$B$2</f>
        <v>47.04</v>
      </c>
      <c r="V33">
        <f t="shared" si="23"/>
        <v>0</v>
      </c>
      <c r="W33">
        <f t="shared" si="24"/>
        <v>0</v>
      </c>
      <c r="AA33" s="8"/>
      <c r="AJ33" s="4"/>
    </row>
    <row r="34" spans="1:36" x14ac:dyDescent="0.25">
      <c r="A34">
        <v>33</v>
      </c>
      <c r="B34">
        <v>7</v>
      </c>
      <c r="C34" t="s">
        <v>64</v>
      </c>
      <c r="D34" s="16" t="s">
        <v>767</v>
      </c>
      <c r="F34">
        <v>3.72</v>
      </c>
      <c r="G34" t="s">
        <v>44</v>
      </c>
      <c r="H34">
        <v>0</v>
      </c>
      <c r="I34">
        <f>2*1.2*(2.5+1.5)</f>
        <v>9.6</v>
      </c>
      <c r="L34">
        <f>Constants!$B$2</f>
        <v>2.8</v>
      </c>
      <c r="M34" t="str">
        <f t="shared" si="19"/>
        <v>N/A</v>
      </c>
      <c r="N34">
        <f>P34*Constants!$E$2</f>
        <v>0</v>
      </c>
      <c r="P34">
        <f t="shared" si="20"/>
        <v>0</v>
      </c>
      <c r="Q34">
        <f>P34*Constants!$B$3</f>
        <v>0</v>
      </c>
      <c r="R34">
        <f t="shared" si="21"/>
        <v>0</v>
      </c>
      <c r="S34">
        <f t="shared" si="22"/>
        <v>9.6</v>
      </c>
      <c r="T34">
        <f>S34*Constants!$B$2</f>
        <v>26.88</v>
      </c>
      <c r="V34">
        <f t="shared" si="23"/>
        <v>0</v>
      </c>
      <c r="W34">
        <f t="shared" si="24"/>
        <v>0</v>
      </c>
      <c r="AA34" s="8"/>
      <c r="AJ34" s="4"/>
    </row>
    <row r="35" spans="1:36" x14ac:dyDescent="0.25">
      <c r="A35">
        <v>34</v>
      </c>
      <c r="B35">
        <v>7</v>
      </c>
      <c r="C35" t="s">
        <v>64</v>
      </c>
      <c r="D35" s="16" t="s">
        <v>768</v>
      </c>
      <c r="F35">
        <v>3.72</v>
      </c>
      <c r="G35" t="s">
        <v>44</v>
      </c>
      <c r="H35">
        <v>0</v>
      </c>
      <c r="I35">
        <f>2*1.2*(2.5+1.5)</f>
        <v>9.6</v>
      </c>
      <c r="L35">
        <f>Constants!$B$2</f>
        <v>2.8</v>
      </c>
      <c r="M35" t="str">
        <f t="shared" si="19"/>
        <v>N/A</v>
      </c>
      <c r="N35">
        <f>P35*Constants!$E$2</f>
        <v>0</v>
      </c>
      <c r="P35">
        <f t="shared" si="20"/>
        <v>0</v>
      </c>
      <c r="Q35">
        <f>P35*Constants!$B$3</f>
        <v>0</v>
      </c>
      <c r="R35">
        <f t="shared" si="21"/>
        <v>0</v>
      </c>
      <c r="S35">
        <f t="shared" si="22"/>
        <v>9.6</v>
      </c>
      <c r="T35">
        <f>S35*Constants!$B$2</f>
        <v>26.88</v>
      </c>
      <c r="V35">
        <f t="shared" si="23"/>
        <v>0</v>
      </c>
      <c r="W35">
        <f t="shared" si="24"/>
        <v>0</v>
      </c>
      <c r="AA35" s="8"/>
      <c r="AJ35" s="4"/>
    </row>
    <row r="36" spans="1:36" x14ac:dyDescent="0.25">
      <c r="A36">
        <v>35</v>
      </c>
      <c r="B36">
        <v>7</v>
      </c>
      <c r="C36" t="s">
        <v>54</v>
      </c>
      <c r="D36" s="16" t="s">
        <v>770</v>
      </c>
      <c r="F36">
        <v>15.95</v>
      </c>
      <c r="G36">
        <v>0</v>
      </c>
      <c r="H36">
        <v>3</v>
      </c>
      <c r="I36">
        <f>2*1.2*(4.1+2.7)</f>
        <v>16.32</v>
      </c>
      <c r="L36">
        <f>Constants!$B$2</f>
        <v>2.8</v>
      </c>
      <c r="M36">
        <f t="shared" si="0"/>
        <v>0</v>
      </c>
      <c r="N36">
        <f>P36*Constants!$E$2</f>
        <v>5.0999999999999996</v>
      </c>
      <c r="P36">
        <f t="shared" ref="P36:P39" si="25">H36</f>
        <v>3</v>
      </c>
      <c r="Q36">
        <f>P36*Constants!$B$3</f>
        <v>12.599999999999998</v>
      </c>
      <c r="R36">
        <f t="shared" ref="R36:R39" si="26">IF(Q36-N36&lt;=0, 0, Q36-N36)</f>
        <v>7.4999999999999982</v>
      </c>
      <c r="S36">
        <f t="shared" ref="S36:S39" si="27">I36-P36</f>
        <v>13.32</v>
      </c>
      <c r="T36">
        <f>S36*Constants!$B$2</f>
        <v>37.295999999999999</v>
      </c>
      <c r="V36">
        <f t="shared" ref="V36:V39" si="28">IF(B36="E",1,0)</f>
        <v>0</v>
      </c>
      <c r="W36">
        <f t="shared" ref="W36:W39" si="29">IF(B36=10,1,0)</f>
        <v>0</v>
      </c>
      <c r="AA36" s="8"/>
      <c r="AJ36" s="4"/>
    </row>
    <row r="37" spans="1:36" x14ac:dyDescent="0.25">
      <c r="A37">
        <v>36</v>
      </c>
      <c r="B37">
        <v>7</v>
      </c>
      <c r="C37" t="s">
        <v>66</v>
      </c>
      <c r="D37" s="16" t="s">
        <v>771</v>
      </c>
      <c r="E37" s="16"/>
      <c r="F37">
        <v>26.44</v>
      </c>
      <c r="G37">
        <v>0</v>
      </c>
      <c r="H37">
        <v>3</v>
      </c>
      <c r="I37">
        <f>2*1.2*(4.5+5)</f>
        <v>22.8</v>
      </c>
      <c r="L37">
        <f>Constants!$B$2</f>
        <v>2.8</v>
      </c>
      <c r="M37">
        <f t="shared" si="0"/>
        <v>0</v>
      </c>
      <c r="N37">
        <f>P37*Constants!$E$2</f>
        <v>5.0999999999999996</v>
      </c>
      <c r="P37">
        <f t="shared" si="25"/>
        <v>3</v>
      </c>
      <c r="Q37">
        <f>P37*Constants!$B$3</f>
        <v>12.599999999999998</v>
      </c>
      <c r="R37">
        <f t="shared" si="26"/>
        <v>7.4999999999999982</v>
      </c>
      <c r="S37">
        <f t="shared" si="27"/>
        <v>19.8</v>
      </c>
      <c r="T37">
        <f>S37*Constants!$B$2</f>
        <v>55.44</v>
      </c>
      <c r="V37">
        <f t="shared" si="28"/>
        <v>0</v>
      </c>
      <c r="W37">
        <f t="shared" si="29"/>
        <v>0</v>
      </c>
      <c r="AA37" s="8"/>
      <c r="AJ37" s="4"/>
    </row>
    <row r="38" spans="1:36" x14ac:dyDescent="0.25">
      <c r="A38">
        <v>37</v>
      </c>
      <c r="B38">
        <v>7</v>
      </c>
      <c r="C38" t="s">
        <v>66</v>
      </c>
      <c r="D38" s="16" t="s">
        <v>772</v>
      </c>
      <c r="F38">
        <v>10.46</v>
      </c>
      <c r="G38" t="s">
        <v>44</v>
      </c>
      <c r="H38">
        <v>0</v>
      </c>
      <c r="I38">
        <f>2*1.2*(2+4)</f>
        <v>14.399999999999999</v>
      </c>
      <c r="L38">
        <f>Constants!$B$2</f>
        <v>2.8</v>
      </c>
      <c r="M38" t="str">
        <f t="shared" si="0"/>
        <v>N/A</v>
      </c>
      <c r="N38">
        <f>P38*Constants!$E$2</f>
        <v>0</v>
      </c>
      <c r="P38">
        <f t="shared" si="25"/>
        <v>0</v>
      </c>
      <c r="Q38">
        <f>P38*Constants!$B$3</f>
        <v>0</v>
      </c>
      <c r="R38">
        <f t="shared" si="26"/>
        <v>0</v>
      </c>
      <c r="S38">
        <f t="shared" si="27"/>
        <v>14.399999999999999</v>
      </c>
      <c r="T38">
        <f>S38*Constants!$B$2</f>
        <v>40.319999999999993</v>
      </c>
      <c r="V38">
        <f t="shared" si="28"/>
        <v>0</v>
      </c>
      <c r="W38">
        <f t="shared" si="29"/>
        <v>0</v>
      </c>
      <c r="AA38" s="8"/>
      <c r="AJ38" s="4"/>
    </row>
    <row r="39" spans="1:36" x14ac:dyDescent="0.25">
      <c r="A39">
        <v>38</v>
      </c>
      <c r="B39">
        <v>7</v>
      </c>
      <c r="C39" t="s">
        <v>55</v>
      </c>
      <c r="D39" s="16" t="s">
        <v>785</v>
      </c>
      <c r="F39">
        <v>13.35</v>
      </c>
      <c r="G39">
        <v>90</v>
      </c>
      <c r="H39">
        <f>5*1.2</f>
        <v>6</v>
      </c>
      <c r="I39">
        <f>2*1.2*(5+2)</f>
        <v>16.8</v>
      </c>
      <c r="L39">
        <f>Constants!$B$2</f>
        <v>2.8</v>
      </c>
      <c r="M39">
        <f t="shared" si="0"/>
        <v>90</v>
      </c>
      <c r="N39">
        <f>P39*Constants!$E$2</f>
        <v>10.199999999999999</v>
      </c>
      <c r="P39">
        <f t="shared" si="25"/>
        <v>6</v>
      </c>
      <c r="Q39">
        <f>P39*Constants!$B$3</f>
        <v>25.199999999999996</v>
      </c>
      <c r="R39">
        <f t="shared" si="26"/>
        <v>14.999999999999996</v>
      </c>
      <c r="S39">
        <f t="shared" si="27"/>
        <v>10.8</v>
      </c>
      <c r="T39">
        <f>S39*Constants!$B$2</f>
        <v>30.24</v>
      </c>
      <c r="V39">
        <f t="shared" si="28"/>
        <v>0</v>
      </c>
      <c r="W39">
        <f t="shared" si="29"/>
        <v>0</v>
      </c>
      <c r="AA39" s="8"/>
      <c r="AJ39" s="4"/>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4"/>
    </row>
    <row r="419" spans="4:4" x14ac:dyDescent="0.25">
      <c r="D419" s="14"/>
    </row>
    <row r="420" spans="4:4" x14ac:dyDescent="0.25">
      <c r="D420" s="13"/>
    </row>
    <row r="421" spans="4:4" x14ac:dyDescent="0.25">
      <c r="D421" s="13"/>
    </row>
    <row r="422" spans="4:4" x14ac:dyDescent="0.25">
      <c r="D422" s="13"/>
    </row>
    <row r="423" spans="4:4" x14ac:dyDescent="0.25">
      <c r="D423" s="13"/>
    </row>
    <row r="424" spans="4:4" x14ac:dyDescent="0.25">
      <c r="D424" s="13"/>
    </row>
    <row r="425" spans="4:4" x14ac:dyDescent="0.25">
      <c r="D425" s="13"/>
    </row>
    <row r="426" spans="4:4" x14ac:dyDescent="0.25">
      <c r="D426" s="13"/>
    </row>
    <row r="427" spans="4:4" x14ac:dyDescent="0.25">
      <c r="D427" s="13"/>
    </row>
  </sheetData>
  <phoneticPr fontId="5" type="noConversion"/>
  <pageMargins left="0.7" right="0.7" top="0.78740157499999996" bottom="0.78740157499999996"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5"/>
  <sheetViews>
    <sheetView zoomScaleNormal="100" workbookViewId="0">
      <pane xSplit="4" ySplit="1" topLeftCell="E3" activePane="bottomRight" state="frozen"/>
      <selection pane="topRight" activeCell="F1" sqref="F1"/>
      <selection pane="bottomLeft" activeCell="A2" sqref="A2"/>
      <selection pane="bottomRight" activeCell="C3" sqref="C3:C36"/>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7</v>
      </c>
      <c r="C2" t="s">
        <v>57</v>
      </c>
      <c r="D2" s="16" t="s">
        <v>76</v>
      </c>
      <c r="F2">
        <v>9.7899999999999991</v>
      </c>
      <c r="G2" t="s">
        <v>44</v>
      </c>
      <c r="H2">
        <v>0</v>
      </c>
      <c r="I2">
        <f>1.2*(4.5+2)*2</f>
        <v>15.6</v>
      </c>
      <c r="L2">
        <f>Constants!$B$2</f>
        <v>2.8</v>
      </c>
      <c r="M2" t="str">
        <f t="shared" ref="M2:M35" si="0">IF(N2&gt;0,G2,"N/A")</f>
        <v>N/A</v>
      </c>
      <c r="N2">
        <f>P2*Constants!$E$2</f>
        <v>0</v>
      </c>
      <c r="P2">
        <f>H2</f>
        <v>0</v>
      </c>
      <c r="Q2">
        <f>P2*Constants!$B$3</f>
        <v>0</v>
      </c>
      <c r="R2">
        <f>IF(Q2-N2&lt;=0, 0, Q2-N2)</f>
        <v>0</v>
      </c>
      <c r="S2">
        <f>I2-P2</f>
        <v>15.6</v>
      </c>
      <c r="T2">
        <f>S2*Constants!$B$2</f>
        <v>43.68</v>
      </c>
      <c r="V2">
        <f>IF(B2="E",1,0)</f>
        <v>0</v>
      </c>
      <c r="W2">
        <f>IF(B2=10,1,0)</f>
        <v>0</v>
      </c>
      <c r="AA2" s="8"/>
      <c r="AJ2" s="4"/>
    </row>
    <row r="3" spans="1:40" x14ac:dyDescent="0.25">
      <c r="A3">
        <v>2</v>
      </c>
      <c r="B3">
        <v>7</v>
      </c>
      <c r="C3" t="s">
        <v>45</v>
      </c>
      <c r="D3" s="16" t="s">
        <v>77</v>
      </c>
      <c r="F3">
        <v>20.13</v>
      </c>
      <c r="G3" t="s">
        <v>44</v>
      </c>
      <c r="H3">
        <v>0</v>
      </c>
      <c r="I3">
        <v>22.05</v>
      </c>
      <c r="L3">
        <f>Constants!$B$2</f>
        <v>2.8</v>
      </c>
      <c r="M3" t="str">
        <f t="shared" si="0"/>
        <v>N/A</v>
      </c>
      <c r="N3">
        <f>P3*Constants!$E$2</f>
        <v>0</v>
      </c>
      <c r="P3">
        <f t="shared" ref="P3:P6" si="1">H3</f>
        <v>0</v>
      </c>
      <c r="Q3">
        <f>P3*Constants!$B$3</f>
        <v>0</v>
      </c>
      <c r="R3">
        <f t="shared" ref="R3:R36" si="2">IF(Q3-N3&lt;=0, 0, Q3-N3)</f>
        <v>0</v>
      </c>
      <c r="S3">
        <f t="shared" ref="S3:S35" si="3">I3-P3</f>
        <v>22.05</v>
      </c>
      <c r="T3">
        <f>S3*Constants!$B$2</f>
        <v>61.739999999999995</v>
      </c>
      <c r="V3">
        <f t="shared" ref="V3:V6" si="4">IF(B3="E",1,0)</f>
        <v>0</v>
      </c>
      <c r="W3">
        <f t="shared" ref="W3:W6" si="5">IF(B3=10,1,0)</f>
        <v>0</v>
      </c>
      <c r="AA3" s="8"/>
      <c r="AJ3" s="4"/>
    </row>
    <row r="4" spans="1:40" x14ac:dyDescent="0.25">
      <c r="A4">
        <v>3</v>
      </c>
      <c r="B4">
        <v>7</v>
      </c>
      <c r="C4" t="s">
        <v>824</v>
      </c>
      <c r="D4" s="16" t="s">
        <v>78</v>
      </c>
      <c r="F4">
        <v>21.89</v>
      </c>
      <c r="G4">
        <v>90</v>
      </c>
      <c r="H4">
        <v>3</v>
      </c>
      <c r="I4">
        <f>21.66</f>
        <v>21.66</v>
      </c>
      <c r="L4">
        <f>Constants!$B$2</f>
        <v>2.8</v>
      </c>
      <c r="M4">
        <f t="shared" si="0"/>
        <v>90</v>
      </c>
      <c r="N4">
        <f>P4*Constants!$E$2</f>
        <v>5.0999999999999996</v>
      </c>
      <c r="P4">
        <f t="shared" si="1"/>
        <v>3</v>
      </c>
      <c r="Q4">
        <f>P4*Constants!$B$3</f>
        <v>12.599999999999998</v>
      </c>
      <c r="R4">
        <f t="shared" si="2"/>
        <v>7.4999999999999982</v>
      </c>
      <c r="S4">
        <f t="shared" si="3"/>
        <v>18.66</v>
      </c>
      <c r="T4">
        <f>S4*Constants!$B$2</f>
        <v>52.247999999999998</v>
      </c>
      <c r="V4">
        <f t="shared" si="4"/>
        <v>0</v>
      </c>
      <c r="W4">
        <f t="shared" si="5"/>
        <v>0</v>
      </c>
      <c r="AA4" s="8"/>
      <c r="AJ4" s="4"/>
    </row>
    <row r="5" spans="1:40" x14ac:dyDescent="0.25">
      <c r="A5">
        <v>4</v>
      </c>
      <c r="B5">
        <v>7</v>
      </c>
      <c r="C5" t="s">
        <v>50</v>
      </c>
      <c r="D5" s="16" t="s">
        <v>79</v>
      </c>
      <c r="F5">
        <v>5.35</v>
      </c>
      <c r="G5" t="s">
        <v>44</v>
      </c>
      <c r="H5">
        <v>0</v>
      </c>
      <c r="I5">
        <v>10</v>
      </c>
      <c r="L5">
        <f>Constants!$B$2</f>
        <v>2.8</v>
      </c>
      <c r="M5" t="str">
        <f t="shared" si="0"/>
        <v>N/A</v>
      </c>
      <c r="N5">
        <f>P5*Constants!$E$2</f>
        <v>0</v>
      </c>
      <c r="P5">
        <f t="shared" si="1"/>
        <v>0</v>
      </c>
      <c r="Q5">
        <f>P5*Constants!$B$3</f>
        <v>0</v>
      </c>
      <c r="R5">
        <f t="shared" si="2"/>
        <v>0</v>
      </c>
      <c r="S5">
        <f t="shared" si="3"/>
        <v>10</v>
      </c>
      <c r="T5">
        <f>S5*Constants!$B$2</f>
        <v>28</v>
      </c>
      <c r="V5">
        <f t="shared" si="4"/>
        <v>0</v>
      </c>
      <c r="W5">
        <f t="shared" si="5"/>
        <v>0</v>
      </c>
      <c r="AA5" s="8"/>
      <c r="AJ5" s="4"/>
    </row>
    <row r="6" spans="1:40" x14ac:dyDescent="0.25">
      <c r="A6">
        <v>5</v>
      </c>
      <c r="B6">
        <v>7</v>
      </c>
      <c r="C6" t="s">
        <v>824</v>
      </c>
      <c r="D6" s="16" t="s">
        <v>80</v>
      </c>
      <c r="F6">
        <v>22.26</v>
      </c>
      <c r="G6">
        <v>90</v>
      </c>
      <c r="H6">
        <v>3.6</v>
      </c>
      <c r="I6">
        <f>21.76</f>
        <v>21.76</v>
      </c>
      <c r="L6">
        <f>Constants!$B$2</f>
        <v>2.8</v>
      </c>
      <c r="M6">
        <f t="shared" si="0"/>
        <v>90</v>
      </c>
      <c r="N6">
        <f>P6*Constants!$E$2</f>
        <v>6.12</v>
      </c>
      <c r="P6">
        <f t="shared" si="1"/>
        <v>3.6</v>
      </c>
      <c r="Q6">
        <f>P6*Constants!$B$3</f>
        <v>15.119999999999997</v>
      </c>
      <c r="R6">
        <f t="shared" si="2"/>
        <v>8.9999999999999964</v>
      </c>
      <c r="S6">
        <f t="shared" si="3"/>
        <v>18.16</v>
      </c>
      <c r="T6">
        <f>S6*Constants!$B$2</f>
        <v>50.847999999999999</v>
      </c>
      <c r="V6">
        <f t="shared" si="4"/>
        <v>0</v>
      </c>
      <c r="W6">
        <f t="shared" si="5"/>
        <v>0</v>
      </c>
      <c r="AA6" s="8"/>
      <c r="AJ6" s="4"/>
    </row>
    <row r="7" spans="1:40" x14ac:dyDescent="0.25">
      <c r="A7">
        <v>6</v>
      </c>
      <c r="B7">
        <v>7</v>
      </c>
      <c r="C7" t="s">
        <v>824</v>
      </c>
      <c r="D7" s="16" t="s">
        <v>81</v>
      </c>
      <c r="F7">
        <v>22.55</v>
      </c>
      <c r="G7">
        <v>90</v>
      </c>
      <c r="H7">
        <v>3.6</v>
      </c>
      <c r="I7">
        <f>21.76</f>
        <v>21.76</v>
      </c>
      <c r="L7">
        <f>Constants!$B$2</f>
        <v>2.8</v>
      </c>
      <c r="M7">
        <f t="shared" si="0"/>
        <v>90</v>
      </c>
      <c r="N7">
        <f>P7*Constants!$E$2</f>
        <v>6.12</v>
      </c>
      <c r="P7">
        <f t="shared" ref="P7:P35" si="6">H7</f>
        <v>3.6</v>
      </c>
      <c r="Q7">
        <f>P7*Constants!$B$3</f>
        <v>15.119999999999997</v>
      </c>
      <c r="R7">
        <f t="shared" si="2"/>
        <v>8.9999999999999964</v>
      </c>
      <c r="S7">
        <f t="shared" si="3"/>
        <v>18.16</v>
      </c>
      <c r="T7">
        <f>S7*Constants!$B$2</f>
        <v>50.847999999999999</v>
      </c>
      <c r="V7">
        <f t="shared" ref="V7:V35" si="7">IF(B7="E",1,0)</f>
        <v>0</v>
      </c>
      <c r="W7">
        <f t="shared" ref="W7:W35" si="8">IF(B7=10,1,0)</f>
        <v>0</v>
      </c>
      <c r="AA7" s="8"/>
      <c r="AJ7" s="4"/>
    </row>
    <row r="8" spans="1:40" x14ac:dyDescent="0.25">
      <c r="A8">
        <v>7</v>
      </c>
      <c r="B8">
        <v>7</v>
      </c>
      <c r="C8" t="s">
        <v>57</v>
      </c>
      <c r="D8" s="16" t="s">
        <v>86</v>
      </c>
      <c r="E8" s="16" t="s">
        <v>81</v>
      </c>
      <c r="F8">
        <v>2.39</v>
      </c>
      <c r="G8" t="s">
        <v>44</v>
      </c>
      <c r="H8">
        <v>0</v>
      </c>
      <c r="I8">
        <v>6.55</v>
      </c>
      <c r="L8">
        <f>Constants!$B$2</f>
        <v>2.8</v>
      </c>
      <c r="M8" t="str">
        <f t="shared" si="0"/>
        <v>N/A</v>
      </c>
      <c r="N8">
        <f>P8*Constants!$E$2</f>
        <v>0</v>
      </c>
      <c r="P8">
        <f t="shared" ref="P8:P14" si="9">H8</f>
        <v>0</v>
      </c>
      <c r="Q8">
        <f>P8*Constants!$B$3</f>
        <v>0</v>
      </c>
      <c r="R8">
        <f t="shared" si="2"/>
        <v>0</v>
      </c>
      <c r="S8">
        <f t="shared" ref="S8:S14" si="10">I8-P8</f>
        <v>6.55</v>
      </c>
      <c r="T8">
        <f>S8*Constants!$B$2</f>
        <v>18.34</v>
      </c>
      <c r="V8">
        <f t="shared" si="7"/>
        <v>0</v>
      </c>
      <c r="W8">
        <f t="shared" si="8"/>
        <v>0</v>
      </c>
      <c r="AA8" s="8"/>
      <c r="AJ8" s="4"/>
    </row>
    <row r="9" spans="1:40" x14ac:dyDescent="0.25">
      <c r="A9">
        <v>8</v>
      </c>
      <c r="B9">
        <v>7</v>
      </c>
      <c r="C9" t="s">
        <v>54</v>
      </c>
      <c r="D9" s="16" t="s">
        <v>82</v>
      </c>
      <c r="F9">
        <v>17.72</v>
      </c>
      <c r="G9">
        <v>90</v>
      </c>
      <c r="H9">
        <v>3</v>
      </c>
      <c r="I9">
        <v>18.46</v>
      </c>
      <c r="L9">
        <f>Constants!$B$2</f>
        <v>2.8</v>
      </c>
      <c r="M9">
        <f t="shared" si="0"/>
        <v>90</v>
      </c>
      <c r="N9">
        <f>P9*Constants!$E$2</f>
        <v>5.0999999999999996</v>
      </c>
      <c r="P9">
        <f t="shared" si="9"/>
        <v>3</v>
      </c>
      <c r="Q9">
        <f>P9*Constants!$B$3</f>
        <v>12.599999999999998</v>
      </c>
      <c r="R9">
        <f t="shared" si="2"/>
        <v>7.4999999999999982</v>
      </c>
      <c r="S9">
        <f t="shared" si="10"/>
        <v>15.46</v>
      </c>
      <c r="T9">
        <f>S9*Constants!$B$2</f>
        <v>43.287999999999997</v>
      </c>
      <c r="V9">
        <f t="shared" si="7"/>
        <v>0</v>
      </c>
      <c r="W9">
        <f t="shared" si="8"/>
        <v>0</v>
      </c>
      <c r="AA9" s="8"/>
      <c r="AJ9" s="4"/>
    </row>
    <row r="10" spans="1:40" x14ac:dyDescent="0.25">
      <c r="A10">
        <v>9</v>
      </c>
      <c r="B10">
        <v>7</v>
      </c>
      <c r="C10" t="s">
        <v>54</v>
      </c>
      <c r="D10" s="16" t="s">
        <v>83</v>
      </c>
      <c r="F10">
        <v>17.91</v>
      </c>
      <c r="G10">
        <v>90</v>
      </c>
      <c r="H10">
        <v>3</v>
      </c>
      <c r="I10">
        <v>19.059999999999999</v>
      </c>
      <c r="L10">
        <f>Constants!$B$2</f>
        <v>2.8</v>
      </c>
      <c r="M10">
        <f t="shared" si="0"/>
        <v>90</v>
      </c>
      <c r="N10">
        <f>P10*Constants!$E$2</f>
        <v>5.0999999999999996</v>
      </c>
      <c r="P10">
        <f t="shared" si="9"/>
        <v>3</v>
      </c>
      <c r="Q10">
        <f>P10*Constants!$B$3</f>
        <v>12.599999999999998</v>
      </c>
      <c r="R10">
        <f t="shared" si="2"/>
        <v>7.4999999999999982</v>
      </c>
      <c r="S10">
        <f t="shared" si="10"/>
        <v>16.059999999999999</v>
      </c>
      <c r="T10">
        <f>S10*Constants!$B$2</f>
        <v>44.967999999999996</v>
      </c>
      <c r="V10">
        <f t="shared" si="7"/>
        <v>0</v>
      </c>
      <c r="W10">
        <f t="shared" si="8"/>
        <v>0</v>
      </c>
      <c r="AA10" s="8"/>
      <c r="AJ10" s="4"/>
    </row>
    <row r="11" spans="1:40" x14ac:dyDescent="0.25">
      <c r="A11">
        <v>10</v>
      </c>
      <c r="B11">
        <v>7</v>
      </c>
      <c r="C11" t="s">
        <v>55</v>
      </c>
      <c r="D11" s="16" t="s">
        <v>84</v>
      </c>
      <c r="F11">
        <v>14.02</v>
      </c>
      <c r="G11">
        <v>90</v>
      </c>
      <c r="H11">
        <v>2.4</v>
      </c>
      <c r="I11">
        <v>17.559999999999999</v>
      </c>
      <c r="L11">
        <f>Constants!$B$2</f>
        <v>2.8</v>
      </c>
      <c r="M11">
        <f t="shared" si="0"/>
        <v>90</v>
      </c>
      <c r="N11">
        <f>P11*Constants!$E$2</f>
        <v>4.08</v>
      </c>
      <c r="P11">
        <f t="shared" si="9"/>
        <v>2.4</v>
      </c>
      <c r="Q11">
        <f>P11*Constants!$B$3</f>
        <v>10.079999999999998</v>
      </c>
      <c r="R11">
        <f t="shared" si="2"/>
        <v>5.9999999999999982</v>
      </c>
      <c r="S11">
        <f t="shared" si="10"/>
        <v>15.159999999999998</v>
      </c>
      <c r="T11">
        <f>S11*Constants!$B$2</f>
        <v>42.447999999999993</v>
      </c>
      <c r="V11">
        <f t="shared" si="7"/>
        <v>0</v>
      </c>
      <c r="W11">
        <f t="shared" si="8"/>
        <v>0</v>
      </c>
      <c r="AA11" s="8"/>
      <c r="AJ11" s="4"/>
    </row>
    <row r="12" spans="1:40" x14ac:dyDescent="0.25">
      <c r="A12">
        <v>11</v>
      </c>
      <c r="B12">
        <v>7</v>
      </c>
      <c r="C12" t="s">
        <v>824</v>
      </c>
      <c r="D12" s="16" t="s">
        <v>85</v>
      </c>
      <c r="F12">
        <v>23.18</v>
      </c>
      <c r="G12">
        <v>90</v>
      </c>
      <c r="H12">
        <v>3.6</v>
      </c>
      <c r="I12">
        <v>21.76</v>
      </c>
      <c r="L12">
        <f>Constants!$B$2</f>
        <v>2.8</v>
      </c>
      <c r="M12">
        <f t="shared" si="0"/>
        <v>90</v>
      </c>
      <c r="N12">
        <f>P12*Constants!$E$2</f>
        <v>6.12</v>
      </c>
      <c r="P12">
        <f t="shared" si="9"/>
        <v>3.6</v>
      </c>
      <c r="Q12">
        <f>P12*Constants!$B$3</f>
        <v>15.119999999999997</v>
      </c>
      <c r="R12">
        <f t="shared" si="2"/>
        <v>8.9999999999999964</v>
      </c>
      <c r="S12">
        <f t="shared" si="10"/>
        <v>18.16</v>
      </c>
      <c r="T12">
        <f>S12*Constants!$B$2</f>
        <v>50.847999999999999</v>
      </c>
      <c r="V12">
        <f t="shared" si="7"/>
        <v>0</v>
      </c>
      <c r="W12">
        <f t="shared" si="8"/>
        <v>0</v>
      </c>
      <c r="AA12" s="8"/>
      <c r="AJ12" s="4"/>
    </row>
    <row r="13" spans="1:40" x14ac:dyDescent="0.25">
      <c r="A13">
        <v>12</v>
      </c>
      <c r="B13">
        <v>7</v>
      </c>
      <c r="C13" t="s">
        <v>57</v>
      </c>
      <c r="D13" s="16" t="s">
        <v>87</v>
      </c>
      <c r="E13" s="16" t="s">
        <v>85</v>
      </c>
      <c r="F13">
        <v>4.08</v>
      </c>
      <c r="G13" t="s">
        <v>44</v>
      </c>
      <c r="H13">
        <v>0</v>
      </c>
      <c r="I13">
        <v>8.76</v>
      </c>
      <c r="L13">
        <f>Constants!$B$2</f>
        <v>2.8</v>
      </c>
      <c r="M13" t="str">
        <f t="shared" si="0"/>
        <v>N/A</v>
      </c>
      <c r="N13">
        <f>P13*Constants!$E$2</f>
        <v>0</v>
      </c>
      <c r="P13">
        <f t="shared" si="9"/>
        <v>0</v>
      </c>
      <c r="Q13">
        <f>P13*Constants!$B$3</f>
        <v>0</v>
      </c>
      <c r="R13">
        <f t="shared" si="2"/>
        <v>0</v>
      </c>
      <c r="S13">
        <f t="shared" si="10"/>
        <v>8.76</v>
      </c>
      <c r="T13">
        <f>S13*Constants!$B$2</f>
        <v>24.527999999999999</v>
      </c>
      <c r="V13">
        <f t="shared" si="7"/>
        <v>0</v>
      </c>
      <c r="W13">
        <f t="shared" si="8"/>
        <v>0</v>
      </c>
      <c r="AA13" s="8"/>
      <c r="AJ13" s="4"/>
    </row>
    <row r="14" spans="1:40" x14ac:dyDescent="0.25">
      <c r="A14">
        <v>13</v>
      </c>
      <c r="B14">
        <v>7</v>
      </c>
      <c r="C14" t="s">
        <v>824</v>
      </c>
      <c r="D14" s="16" t="s">
        <v>88</v>
      </c>
      <c r="F14">
        <v>23.18</v>
      </c>
      <c r="G14">
        <v>90</v>
      </c>
      <c r="H14">
        <v>3.6</v>
      </c>
      <c r="I14">
        <v>21.76</v>
      </c>
      <c r="L14">
        <f>Constants!$B$2</f>
        <v>2.8</v>
      </c>
      <c r="M14">
        <f t="shared" si="0"/>
        <v>90</v>
      </c>
      <c r="N14">
        <f>P14*Constants!$E$2</f>
        <v>6.12</v>
      </c>
      <c r="P14">
        <f t="shared" si="9"/>
        <v>3.6</v>
      </c>
      <c r="Q14">
        <f>P14*Constants!$B$3</f>
        <v>15.119999999999997</v>
      </c>
      <c r="R14">
        <f t="shared" si="2"/>
        <v>8.9999999999999964</v>
      </c>
      <c r="S14">
        <f t="shared" si="10"/>
        <v>18.16</v>
      </c>
      <c r="T14">
        <f>S14*Constants!$B$2</f>
        <v>50.847999999999999</v>
      </c>
      <c r="V14">
        <f t="shared" si="7"/>
        <v>0</v>
      </c>
      <c r="W14">
        <f t="shared" si="8"/>
        <v>0</v>
      </c>
      <c r="AA14" s="8"/>
      <c r="AJ14" s="4"/>
    </row>
    <row r="15" spans="1:40" x14ac:dyDescent="0.25">
      <c r="A15">
        <v>14</v>
      </c>
      <c r="B15">
        <v>7</v>
      </c>
      <c r="C15" t="s">
        <v>824</v>
      </c>
      <c r="D15" s="16" t="s">
        <v>89</v>
      </c>
      <c r="F15">
        <v>23.18</v>
      </c>
      <c r="G15">
        <v>90</v>
      </c>
      <c r="H15">
        <v>3.6</v>
      </c>
      <c r="I15">
        <v>21.76</v>
      </c>
      <c r="L15">
        <f>Constants!$B$2</f>
        <v>2.8</v>
      </c>
      <c r="M15">
        <f t="shared" si="0"/>
        <v>90</v>
      </c>
      <c r="N15">
        <f>P15*Constants!$E$2</f>
        <v>6.12</v>
      </c>
      <c r="P15">
        <f t="shared" si="6"/>
        <v>3.6</v>
      </c>
      <c r="Q15">
        <f>P15*Constants!$B$3</f>
        <v>15.119999999999997</v>
      </c>
      <c r="R15">
        <f t="shared" si="2"/>
        <v>8.9999999999999964</v>
      </c>
      <c r="S15">
        <f t="shared" si="3"/>
        <v>18.16</v>
      </c>
      <c r="T15">
        <f>S15*Constants!$B$2</f>
        <v>50.847999999999999</v>
      </c>
      <c r="V15">
        <f t="shared" si="7"/>
        <v>0</v>
      </c>
      <c r="W15">
        <f t="shared" si="8"/>
        <v>0</v>
      </c>
      <c r="AA15" s="8"/>
      <c r="AJ15" s="4"/>
    </row>
    <row r="16" spans="1:40" x14ac:dyDescent="0.25">
      <c r="A16">
        <v>15</v>
      </c>
      <c r="B16">
        <v>7</v>
      </c>
      <c r="C16" t="s">
        <v>57</v>
      </c>
      <c r="D16" s="16" t="s">
        <v>90</v>
      </c>
      <c r="E16" s="16" t="s">
        <v>89</v>
      </c>
      <c r="F16">
        <v>4.08</v>
      </c>
      <c r="G16" t="s">
        <v>44</v>
      </c>
      <c r="H16">
        <v>0</v>
      </c>
      <c r="I16">
        <v>8.76</v>
      </c>
      <c r="L16">
        <f>Constants!$B$2</f>
        <v>2.8</v>
      </c>
      <c r="M16" t="str">
        <f t="shared" si="0"/>
        <v>N/A</v>
      </c>
      <c r="N16">
        <f>P16*Constants!$E$2</f>
        <v>0</v>
      </c>
      <c r="P16">
        <f t="shared" si="6"/>
        <v>0</v>
      </c>
      <c r="Q16">
        <f>P16*Constants!$B$3</f>
        <v>0</v>
      </c>
      <c r="R16">
        <f t="shared" si="2"/>
        <v>0</v>
      </c>
      <c r="S16">
        <f t="shared" si="3"/>
        <v>8.76</v>
      </c>
      <c r="T16">
        <f>S16*Constants!$B$2</f>
        <v>24.527999999999999</v>
      </c>
      <c r="V16">
        <f t="shared" si="7"/>
        <v>0</v>
      </c>
      <c r="W16">
        <f t="shared" si="8"/>
        <v>0</v>
      </c>
      <c r="AA16" s="8"/>
      <c r="AJ16" s="4"/>
    </row>
    <row r="17" spans="1:36" x14ac:dyDescent="0.25">
      <c r="A17">
        <v>16</v>
      </c>
      <c r="B17">
        <v>7</v>
      </c>
      <c r="C17" t="s">
        <v>824</v>
      </c>
      <c r="D17" s="16" t="s">
        <v>91</v>
      </c>
      <c r="F17">
        <v>22.41</v>
      </c>
      <c r="G17">
        <v>90</v>
      </c>
      <c r="H17">
        <f>3.3+3.6</f>
        <v>6.9</v>
      </c>
      <c r="I17">
        <v>21.86</v>
      </c>
      <c r="L17">
        <f>Constants!$B$2</f>
        <v>2.8</v>
      </c>
      <c r="M17">
        <f t="shared" si="0"/>
        <v>90</v>
      </c>
      <c r="N17">
        <f>P17*Constants!$E$2</f>
        <v>11.73</v>
      </c>
      <c r="P17">
        <f t="shared" si="6"/>
        <v>6.9</v>
      </c>
      <c r="Q17">
        <f>P17*Constants!$B$3</f>
        <v>28.979999999999997</v>
      </c>
      <c r="R17">
        <f t="shared" si="2"/>
        <v>17.249999999999996</v>
      </c>
      <c r="S17">
        <f t="shared" si="3"/>
        <v>14.959999999999999</v>
      </c>
      <c r="T17">
        <f>S17*Constants!$B$2</f>
        <v>41.887999999999998</v>
      </c>
      <c r="V17">
        <f t="shared" si="7"/>
        <v>0</v>
      </c>
      <c r="W17">
        <f t="shared" si="8"/>
        <v>0</v>
      </c>
      <c r="AA17" s="8"/>
      <c r="AJ17" s="4"/>
    </row>
    <row r="18" spans="1:36" x14ac:dyDescent="0.25">
      <c r="A18">
        <v>17</v>
      </c>
      <c r="B18">
        <v>7</v>
      </c>
      <c r="C18" t="s">
        <v>824</v>
      </c>
      <c r="D18" s="16" t="s">
        <v>92</v>
      </c>
      <c r="F18">
        <v>21.61</v>
      </c>
      <c r="G18">
        <v>270</v>
      </c>
      <c r="H18">
        <f>3.3+3.6</f>
        <v>6.9</v>
      </c>
      <c r="I18">
        <v>20.84</v>
      </c>
      <c r="L18">
        <f>Constants!$B$2</f>
        <v>2.8</v>
      </c>
      <c r="M18">
        <f t="shared" si="0"/>
        <v>270</v>
      </c>
      <c r="N18">
        <f>P18*Constants!$E$2</f>
        <v>11.73</v>
      </c>
      <c r="P18">
        <f t="shared" si="6"/>
        <v>6.9</v>
      </c>
      <c r="Q18">
        <f>P18*Constants!$B$3</f>
        <v>28.979999999999997</v>
      </c>
      <c r="R18">
        <f t="shared" si="2"/>
        <v>17.249999999999996</v>
      </c>
      <c r="S18">
        <f t="shared" si="3"/>
        <v>13.94</v>
      </c>
      <c r="T18">
        <f>S18*Constants!$B$2</f>
        <v>39.031999999999996</v>
      </c>
      <c r="V18">
        <f t="shared" si="7"/>
        <v>0</v>
      </c>
      <c r="W18">
        <f t="shared" si="8"/>
        <v>0</v>
      </c>
      <c r="AA18" s="8"/>
      <c r="AJ18" s="4"/>
    </row>
    <row r="19" spans="1:36" x14ac:dyDescent="0.25">
      <c r="A19">
        <v>18</v>
      </c>
      <c r="B19">
        <v>7</v>
      </c>
      <c r="C19" t="s">
        <v>50</v>
      </c>
      <c r="D19" s="16" t="s">
        <v>93</v>
      </c>
      <c r="F19">
        <v>5.35</v>
      </c>
      <c r="G19" t="s">
        <v>44</v>
      </c>
      <c r="H19">
        <v>0</v>
      </c>
      <c r="I19">
        <v>10</v>
      </c>
      <c r="L19">
        <f>Constants!$B$2</f>
        <v>2.8</v>
      </c>
      <c r="M19" t="str">
        <f t="shared" si="0"/>
        <v>N/A</v>
      </c>
      <c r="N19">
        <f>P19*Constants!$E$2</f>
        <v>0</v>
      </c>
      <c r="P19">
        <f t="shared" si="6"/>
        <v>0</v>
      </c>
      <c r="Q19">
        <f>P19*Constants!$B$3</f>
        <v>0</v>
      </c>
      <c r="R19">
        <f t="shared" si="2"/>
        <v>0</v>
      </c>
      <c r="S19">
        <f t="shared" si="3"/>
        <v>10</v>
      </c>
      <c r="T19">
        <f>S19*Constants!$B$2</f>
        <v>28</v>
      </c>
      <c r="V19">
        <f t="shared" si="7"/>
        <v>0</v>
      </c>
      <c r="W19">
        <f t="shared" si="8"/>
        <v>0</v>
      </c>
      <c r="AA19" s="8"/>
      <c r="AJ19" s="4"/>
    </row>
    <row r="20" spans="1:36" x14ac:dyDescent="0.25">
      <c r="A20">
        <v>19</v>
      </c>
      <c r="B20">
        <v>7</v>
      </c>
      <c r="C20" t="s">
        <v>824</v>
      </c>
      <c r="D20" s="16" t="s">
        <v>94</v>
      </c>
      <c r="F20">
        <v>22.26</v>
      </c>
      <c r="G20">
        <v>270</v>
      </c>
      <c r="H20">
        <v>3.6</v>
      </c>
      <c r="I20">
        <v>21.76</v>
      </c>
      <c r="L20">
        <f>Constants!$B$2</f>
        <v>2.8</v>
      </c>
      <c r="M20">
        <f t="shared" si="0"/>
        <v>270</v>
      </c>
      <c r="N20">
        <f>P20*Constants!$E$2</f>
        <v>6.12</v>
      </c>
      <c r="P20">
        <f t="shared" si="6"/>
        <v>3.6</v>
      </c>
      <c r="Q20">
        <f>P20*Constants!$B$3</f>
        <v>15.119999999999997</v>
      </c>
      <c r="R20">
        <f t="shared" si="2"/>
        <v>8.9999999999999964</v>
      </c>
      <c r="S20">
        <f t="shared" si="3"/>
        <v>18.16</v>
      </c>
      <c r="T20">
        <f>S20*Constants!$B$2</f>
        <v>50.847999999999999</v>
      </c>
      <c r="V20">
        <f t="shared" si="7"/>
        <v>0</v>
      </c>
      <c r="W20">
        <f t="shared" si="8"/>
        <v>0</v>
      </c>
      <c r="AA20" s="8"/>
      <c r="AJ20" s="4"/>
    </row>
    <row r="21" spans="1:36" x14ac:dyDescent="0.25">
      <c r="A21">
        <v>20</v>
      </c>
      <c r="B21">
        <v>7</v>
      </c>
      <c r="C21" t="s">
        <v>824</v>
      </c>
      <c r="D21" s="16" t="s">
        <v>95</v>
      </c>
      <c r="F21">
        <v>23.18</v>
      </c>
      <c r="G21">
        <v>270</v>
      </c>
      <c r="H21">
        <v>3.6</v>
      </c>
      <c r="I21">
        <v>21.76</v>
      </c>
      <c r="L21">
        <f>Constants!$B$2</f>
        <v>2.8</v>
      </c>
      <c r="M21">
        <f t="shared" si="0"/>
        <v>270</v>
      </c>
      <c r="N21">
        <f>P21*Constants!$E$2</f>
        <v>6.12</v>
      </c>
      <c r="P21">
        <f t="shared" si="6"/>
        <v>3.6</v>
      </c>
      <c r="Q21">
        <f>P21*Constants!$B$3</f>
        <v>15.119999999999997</v>
      </c>
      <c r="R21">
        <f t="shared" si="2"/>
        <v>8.9999999999999964</v>
      </c>
      <c r="S21">
        <f t="shared" si="3"/>
        <v>18.16</v>
      </c>
      <c r="T21">
        <f>S21*Constants!$B$2</f>
        <v>50.847999999999999</v>
      </c>
      <c r="V21">
        <f t="shared" si="7"/>
        <v>0</v>
      </c>
      <c r="W21">
        <f t="shared" si="8"/>
        <v>0</v>
      </c>
      <c r="AA21" s="8"/>
      <c r="AJ21" s="4"/>
    </row>
    <row r="22" spans="1:36" x14ac:dyDescent="0.25">
      <c r="A22">
        <v>21</v>
      </c>
      <c r="B22">
        <v>7</v>
      </c>
      <c r="C22" t="s">
        <v>57</v>
      </c>
      <c r="D22" s="16" t="s">
        <v>96</v>
      </c>
      <c r="E22" s="16" t="s">
        <v>95</v>
      </c>
      <c r="F22">
        <v>4.08</v>
      </c>
      <c r="G22" t="s">
        <v>44</v>
      </c>
      <c r="H22">
        <v>0</v>
      </c>
      <c r="I22">
        <v>8.75</v>
      </c>
      <c r="L22">
        <f>Constants!$B$2</f>
        <v>2.8</v>
      </c>
      <c r="M22" t="str">
        <f t="shared" si="0"/>
        <v>N/A</v>
      </c>
      <c r="N22">
        <f>P22*Constants!$E$2</f>
        <v>0</v>
      </c>
      <c r="P22">
        <f t="shared" si="6"/>
        <v>0</v>
      </c>
      <c r="Q22">
        <f>P22*Constants!$B$3</f>
        <v>0</v>
      </c>
      <c r="R22">
        <f t="shared" si="2"/>
        <v>0</v>
      </c>
      <c r="S22">
        <f t="shared" si="3"/>
        <v>8.75</v>
      </c>
      <c r="T22">
        <f>S22*Constants!$B$2</f>
        <v>24.5</v>
      </c>
      <c r="V22">
        <f t="shared" si="7"/>
        <v>0</v>
      </c>
      <c r="W22">
        <f t="shared" si="8"/>
        <v>0</v>
      </c>
      <c r="AA22" s="8"/>
      <c r="AJ22" s="4"/>
    </row>
    <row r="23" spans="1:36" x14ac:dyDescent="0.25">
      <c r="A23">
        <v>22</v>
      </c>
      <c r="B23">
        <v>7</v>
      </c>
      <c r="C23" t="s">
        <v>824</v>
      </c>
      <c r="D23" s="16" t="s">
        <v>97</v>
      </c>
      <c r="F23">
        <v>23.18</v>
      </c>
      <c r="G23">
        <v>270</v>
      </c>
      <c r="H23">
        <v>3.6</v>
      </c>
      <c r="I23">
        <v>21.76</v>
      </c>
      <c r="L23">
        <f>Constants!$B$2</f>
        <v>2.8</v>
      </c>
      <c r="M23">
        <f t="shared" si="0"/>
        <v>270</v>
      </c>
      <c r="N23">
        <f>P23*Constants!$E$2</f>
        <v>6.12</v>
      </c>
      <c r="P23">
        <f t="shared" si="6"/>
        <v>3.6</v>
      </c>
      <c r="Q23">
        <f>P23*Constants!$B$3</f>
        <v>15.119999999999997</v>
      </c>
      <c r="R23">
        <f t="shared" si="2"/>
        <v>8.9999999999999964</v>
      </c>
      <c r="S23">
        <f t="shared" si="3"/>
        <v>18.16</v>
      </c>
      <c r="T23">
        <f>S23*Constants!$B$2</f>
        <v>50.847999999999999</v>
      </c>
      <c r="V23">
        <f t="shared" si="7"/>
        <v>0</v>
      </c>
      <c r="W23">
        <f t="shared" si="8"/>
        <v>0</v>
      </c>
      <c r="AA23" s="8"/>
      <c r="AJ23" s="4"/>
    </row>
    <row r="24" spans="1:36" x14ac:dyDescent="0.25">
      <c r="A24">
        <v>23</v>
      </c>
      <c r="B24">
        <v>7</v>
      </c>
      <c r="C24" t="s">
        <v>61</v>
      </c>
      <c r="D24" s="16" t="s">
        <v>98</v>
      </c>
      <c r="F24">
        <v>26.76</v>
      </c>
      <c r="G24" t="s">
        <v>44</v>
      </c>
      <c r="H24">
        <v>0</v>
      </c>
      <c r="I24">
        <v>24</v>
      </c>
      <c r="L24">
        <f>Constants!$B$2</f>
        <v>2.8</v>
      </c>
      <c r="M24" t="str">
        <f t="shared" si="0"/>
        <v>N/A</v>
      </c>
      <c r="N24">
        <f>P24*Constants!$E$2</f>
        <v>0</v>
      </c>
      <c r="P24">
        <f t="shared" si="6"/>
        <v>0</v>
      </c>
      <c r="Q24">
        <f>P24*Constants!$B$3</f>
        <v>0</v>
      </c>
      <c r="R24">
        <f t="shared" si="2"/>
        <v>0</v>
      </c>
      <c r="S24">
        <f t="shared" si="3"/>
        <v>24</v>
      </c>
      <c r="T24">
        <f>S24*Constants!$B$2</f>
        <v>67.199999999999989</v>
      </c>
      <c r="V24">
        <f t="shared" si="7"/>
        <v>0</v>
      </c>
      <c r="W24">
        <f t="shared" si="8"/>
        <v>0</v>
      </c>
      <c r="AA24" s="8"/>
      <c r="AJ24" s="4"/>
    </row>
    <row r="25" spans="1:36" x14ac:dyDescent="0.25">
      <c r="A25">
        <v>24</v>
      </c>
      <c r="B25">
        <v>7</v>
      </c>
      <c r="C25" t="s">
        <v>59</v>
      </c>
      <c r="D25" s="16" t="s">
        <v>99</v>
      </c>
      <c r="F25">
        <v>18.16</v>
      </c>
      <c r="G25">
        <v>270</v>
      </c>
      <c r="H25">
        <v>4.8</v>
      </c>
      <c r="I25">
        <v>20.16</v>
      </c>
      <c r="L25">
        <f>Constants!$B$2</f>
        <v>2.8</v>
      </c>
      <c r="M25">
        <f t="shared" si="0"/>
        <v>270</v>
      </c>
      <c r="N25">
        <f>P25*Constants!$E$2</f>
        <v>8.16</v>
      </c>
      <c r="P25">
        <f t="shared" si="6"/>
        <v>4.8</v>
      </c>
      <c r="Q25">
        <f>P25*Constants!$B$3</f>
        <v>20.159999999999997</v>
      </c>
      <c r="R25">
        <f t="shared" si="2"/>
        <v>11.999999999999996</v>
      </c>
      <c r="S25">
        <f t="shared" si="3"/>
        <v>15.36</v>
      </c>
      <c r="T25">
        <f>S25*Constants!$B$2</f>
        <v>43.007999999999996</v>
      </c>
      <c r="V25">
        <f t="shared" si="7"/>
        <v>0</v>
      </c>
      <c r="W25">
        <f t="shared" si="8"/>
        <v>0</v>
      </c>
      <c r="AA25" s="8"/>
      <c r="AJ25" s="4"/>
    </row>
    <row r="26" spans="1:36" x14ac:dyDescent="0.25">
      <c r="A26">
        <v>25</v>
      </c>
      <c r="B26">
        <v>7</v>
      </c>
      <c r="C26" t="s">
        <v>50</v>
      </c>
      <c r="D26" s="16" t="s">
        <v>100</v>
      </c>
      <c r="F26">
        <v>14.26</v>
      </c>
      <c r="G26">
        <v>270</v>
      </c>
      <c r="H26">
        <v>3.6</v>
      </c>
      <c r="I26">
        <v>15.76</v>
      </c>
      <c r="L26">
        <f>Constants!$B$2</f>
        <v>2.8</v>
      </c>
      <c r="M26">
        <f t="shared" si="0"/>
        <v>270</v>
      </c>
      <c r="N26">
        <f>P26*Constants!$E$2</f>
        <v>6.12</v>
      </c>
      <c r="P26">
        <f t="shared" si="6"/>
        <v>3.6</v>
      </c>
      <c r="Q26">
        <f>P26*Constants!$B$3</f>
        <v>15.119999999999997</v>
      </c>
      <c r="R26">
        <f t="shared" si="2"/>
        <v>8.9999999999999964</v>
      </c>
      <c r="S26">
        <f t="shared" si="3"/>
        <v>12.16</v>
      </c>
      <c r="T26">
        <f>S26*Constants!$B$2</f>
        <v>34.047999999999995</v>
      </c>
      <c r="V26">
        <f t="shared" si="7"/>
        <v>0</v>
      </c>
      <c r="W26">
        <f t="shared" si="8"/>
        <v>0</v>
      </c>
      <c r="AA26" s="8"/>
      <c r="AJ26" s="4"/>
    </row>
    <row r="27" spans="1:36" x14ac:dyDescent="0.25">
      <c r="A27">
        <v>26</v>
      </c>
      <c r="B27">
        <v>7</v>
      </c>
      <c r="C27" t="s">
        <v>824</v>
      </c>
      <c r="D27" s="16" t="s">
        <v>101</v>
      </c>
      <c r="F27">
        <v>22.55</v>
      </c>
      <c r="G27">
        <v>270</v>
      </c>
      <c r="H27">
        <v>3.6</v>
      </c>
      <c r="I27">
        <v>21.76</v>
      </c>
      <c r="L27">
        <f>Constants!$B$2</f>
        <v>2.8</v>
      </c>
      <c r="M27">
        <f t="shared" si="0"/>
        <v>270</v>
      </c>
      <c r="N27">
        <f>P27*Constants!$E$2</f>
        <v>6.12</v>
      </c>
      <c r="P27">
        <f t="shared" si="6"/>
        <v>3.6</v>
      </c>
      <c r="Q27">
        <f>P27*Constants!$B$3</f>
        <v>15.119999999999997</v>
      </c>
      <c r="R27">
        <f t="shared" si="2"/>
        <v>8.9999999999999964</v>
      </c>
      <c r="S27">
        <f t="shared" si="3"/>
        <v>18.16</v>
      </c>
      <c r="T27">
        <f>S27*Constants!$B$2</f>
        <v>50.847999999999999</v>
      </c>
      <c r="V27">
        <f t="shared" si="7"/>
        <v>0</v>
      </c>
      <c r="W27">
        <f t="shared" si="8"/>
        <v>0</v>
      </c>
      <c r="AA27" s="8"/>
      <c r="AJ27" s="4"/>
    </row>
    <row r="28" spans="1:36" x14ac:dyDescent="0.25">
      <c r="A28">
        <v>27</v>
      </c>
      <c r="B28">
        <v>7</v>
      </c>
      <c r="C28" t="s">
        <v>57</v>
      </c>
      <c r="D28" s="16" t="s">
        <v>102</v>
      </c>
      <c r="E28" s="16" t="s">
        <v>101</v>
      </c>
      <c r="F28">
        <v>2.39</v>
      </c>
      <c r="G28" t="s">
        <v>44</v>
      </c>
      <c r="H28">
        <v>0</v>
      </c>
      <c r="I28">
        <v>6.55</v>
      </c>
      <c r="L28">
        <f>Constants!$B$2</f>
        <v>2.8</v>
      </c>
      <c r="M28" t="str">
        <f t="shared" si="0"/>
        <v>N/A</v>
      </c>
      <c r="N28">
        <f>P28*Constants!$E$2</f>
        <v>0</v>
      </c>
      <c r="P28">
        <f t="shared" si="6"/>
        <v>0</v>
      </c>
      <c r="Q28">
        <f>P28*Constants!$B$3</f>
        <v>0</v>
      </c>
      <c r="R28">
        <f t="shared" si="2"/>
        <v>0</v>
      </c>
      <c r="S28">
        <f t="shared" si="3"/>
        <v>6.55</v>
      </c>
      <c r="T28">
        <f>S28*Constants!$B$2</f>
        <v>18.34</v>
      </c>
      <c r="V28">
        <f t="shared" si="7"/>
        <v>0</v>
      </c>
      <c r="W28">
        <f t="shared" si="8"/>
        <v>0</v>
      </c>
      <c r="AA28" s="8"/>
      <c r="AJ28" s="4"/>
    </row>
    <row r="29" spans="1:36" x14ac:dyDescent="0.25">
      <c r="A29">
        <v>28</v>
      </c>
      <c r="B29">
        <v>7</v>
      </c>
      <c r="C29" t="s">
        <v>824</v>
      </c>
      <c r="D29" s="16" t="s">
        <v>103</v>
      </c>
      <c r="F29">
        <v>23.18</v>
      </c>
      <c r="G29">
        <v>270</v>
      </c>
      <c r="H29">
        <v>3.6</v>
      </c>
      <c r="I29">
        <v>21.76</v>
      </c>
      <c r="L29">
        <f>Constants!$B$2</f>
        <v>2.8</v>
      </c>
      <c r="M29">
        <f t="shared" si="0"/>
        <v>270</v>
      </c>
      <c r="N29">
        <f>P29*Constants!$E$2</f>
        <v>6.12</v>
      </c>
      <c r="P29">
        <f t="shared" si="6"/>
        <v>3.6</v>
      </c>
      <c r="Q29">
        <f>P29*Constants!$B$3</f>
        <v>15.119999999999997</v>
      </c>
      <c r="R29">
        <f t="shared" si="2"/>
        <v>8.9999999999999964</v>
      </c>
      <c r="S29">
        <f t="shared" si="3"/>
        <v>18.16</v>
      </c>
      <c r="T29">
        <f>S29*Constants!$B$2</f>
        <v>50.847999999999999</v>
      </c>
      <c r="V29">
        <f t="shared" si="7"/>
        <v>0</v>
      </c>
      <c r="W29">
        <f t="shared" si="8"/>
        <v>0</v>
      </c>
      <c r="AA29" s="8"/>
      <c r="AJ29" s="4"/>
    </row>
    <row r="30" spans="1:36" x14ac:dyDescent="0.25">
      <c r="A30">
        <v>29</v>
      </c>
      <c r="B30">
        <v>7</v>
      </c>
      <c r="C30" t="s">
        <v>57</v>
      </c>
      <c r="D30" s="16" t="s">
        <v>104</v>
      </c>
      <c r="E30" s="16" t="s">
        <v>103</v>
      </c>
      <c r="F30">
        <v>4.08</v>
      </c>
      <c r="G30" t="s">
        <v>44</v>
      </c>
      <c r="H30">
        <v>0</v>
      </c>
      <c r="I30">
        <v>8.76</v>
      </c>
      <c r="L30">
        <f>Constants!$B$2</f>
        <v>2.8</v>
      </c>
      <c r="M30" t="str">
        <f t="shared" si="0"/>
        <v>N/A</v>
      </c>
      <c r="N30">
        <f>P30*Constants!$E$2</f>
        <v>0</v>
      </c>
      <c r="P30">
        <f t="shared" si="6"/>
        <v>0</v>
      </c>
      <c r="Q30">
        <f>P30*Constants!$B$3</f>
        <v>0</v>
      </c>
      <c r="R30">
        <f t="shared" si="2"/>
        <v>0</v>
      </c>
      <c r="S30">
        <f t="shared" si="3"/>
        <v>8.76</v>
      </c>
      <c r="T30">
        <f>S30*Constants!$B$2</f>
        <v>24.527999999999999</v>
      </c>
      <c r="V30">
        <f t="shared" si="7"/>
        <v>0</v>
      </c>
      <c r="W30">
        <f t="shared" si="8"/>
        <v>0</v>
      </c>
      <c r="AA30" s="8"/>
      <c r="AJ30" s="4"/>
    </row>
    <row r="31" spans="1:36" x14ac:dyDescent="0.25">
      <c r="A31">
        <v>30</v>
      </c>
      <c r="B31">
        <v>7</v>
      </c>
      <c r="C31" t="s">
        <v>824</v>
      </c>
      <c r="D31" s="16" t="s">
        <v>105</v>
      </c>
      <c r="F31">
        <v>22.81</v>
      </c>
      <c r="G31">
        <v>270</v>
      </c>
      <c r="H31">
        <v>3.6</v>
      </c>
      <c r="I31">
        <v>21.66</v>
      </c>
      <c r="L31">
        <f>Constants!$B$2</f>
        <v>2.8</v>
      </c>
      <c r="M31">
        <f t="shared" si="0"/>
        <v>270</v>
      </c>
      <c r="N31">
        <f>P31*Constants!$E$2</f>
        <v>6.12</v>
      </c>
      <c r="P31">
        <f t="shared" si="6"/>
        <v>3.6</v>
      </c>
      <c r="Q31">
        <f>P31*Constants!$B$3</f>
        <v>15.119999999999997</v>
      </c>
      <c r="R31">
        <f t="shared" si="2"/>
        <v>8.9999999999999964</v>
      </c>
      <c r="S31">
        <f t="shared" si="3"/>
        <v>18.059999999999999</v>
      </c>
      <c r="T31">
        <f>S31*Constants!$B$2</f>
        <v>50.567999999999991</v>
      </c>
      <c r="V31">
        <f t="shared" si="7"/>
        <v>0</v>
      </c>
      <c r="W31">
        <f t="shared" si="8"/>
        <v>0</v>
      </c>
      <c r="AA31" s="8"/>
      <c r="AJ31" s="4"/>
    </row>
    <row r="32" spans="1:36" x14ac:dyDescent="0.25">
      <c r="A32">
        <v>31</v>
      </c>
      <c r="B32">
        <v>7</v>
      </c>
      <c r="C32" t="s">
        <v>50</v>
      </c>
      <c r="D32" s="16" t="s">
        <v>106</v>
      </c>
      <c r="F32">
        <v>15.41</v>
      </c>
      <c r="G32" t="s">
        <v>44</v>
      </c>
      <c r="H32">
        <v>0</v>
      </c>
      <c r="I32">
        <v>15.9</v>
      </c>
      <c r="L32">
        <f>Constants!$B$2</f>
        <v>2.8</v>
      </c>
      <c r="M32" t="str">
        <f t="shared" si="0"/>
        <v>N/A</v>
      </c>
      <c r="N32">
        <f>P32*Constants!$E$2</f>
        <v>0</v>
      </c>
      <c r="P32">
        <f t="shared" si="6"/>
        <v>0</v>
      </c>
      <c r="Q32">
        <f>P32*Constants!$B$3</f>
        <v>0</v>
      </c>
      <c r="R32">
        <f t="shared" si="2"/>
        <v>0</v>
      </c>
      <c r="S32">
        <f t="shared" si="3"/>
        <v>15.9</v>
      </c>
      <c r="T32">
        <f>S32*Constants!$B$2</f>
        <v>44.519999999999996</v>
      </c>
      <c r="V32">
        <f t="shared" si="7"/>
        <v>0</v>
      </c>
      <c r="W32">
        <f t="shared" si="8"/>
        <v>0</v>
      </c>
      <c r="AA32" s="8"/>
      <c r="AJ32" s="4"/>
    </row>
    <row r="33" spans="1:36" x14ac:dyDescent="0.25">
      <c r="A33">
        <v>32</v>
      </c>
      <c r="B33">
        <v>7</v>
      </c>
      <c r="C33" t="s">
        <v>62</v>
      </c>
      <c r="D33" s="16" t="s">
        <v>107</v>
      </c>
      <c r="F33">
        <v>20.76</v>
      </c>
      <c r="G33">
        <v>90</v>
      </c>
      <c r="H33">
        <v>3.2</v>
      </c>
      <c r="I33">
        <f>2*(5.3+3.2)</f>
        <v>17</v>
      </c>
      <c r="L33">
        <f>Constants!$B$2</f>
        <v>2.8</v>
      </c>
      <c r="M33">
        <f t="shared" si="0"/>
        <v>90</v>
      </c>
      <c r="N33">
        <f>P33*Constants!$E$2</f>
        <v>5.44</v>
      </c>
      <c r="P33">
        <f t="shared" si="6"/>
        <v>3.2</v>
      </c>
      <c r="Q33">
        <f>P33*Constants!$B$3</f>
        <v>13.439999999999998</v>
      </c>
      <c r="R33">
        <f t="shared" si="2"/>
        <v>7.9999999999999973</v>
      </c>
      <c r="S33">
        <f t="shared" si="3"/>
        <v>13.8</v>
      </c>
      <c r="T33">
        <f>S33*Constants!$B$2</f>
        <v>38.64</v>
      </c>
      <c r="V33">
        <f t="shared" si="7"/>
        <v>0</v>
      </c>
      <c r="W33">
        <f t="shared" si="8"/>
        <v>0</v>
      </c>
      <c r="AA33" s="8"/>
      <c r="AJ33" s="4"/>
    </row>
    <row r="34" spans="1:36" x14ac:dyDescent="0.25">
      <c r="A34">
        <v>33</v>
      </c>
      <c r="B34">
        <v>7</v>
      </c>
      <c r="C34" t="s">
        <v>64</v>
      </c>
      <c r="D34" s="16" t="s">
        <v>108</v>
      </c>
      <c r="F34">
        <v>3.72</v>
      </c>
      <c r="G34">
        <v>90</v>
      </c>
      <c r="H34">
        <v>1.2</v>
      </c>
      <c r="I34">
        <f>2*(1.2+2.9)</f>
        <v>8.1999999999999993</v>
      </c>
      <c r="L34">
        <f>Constants!$B$2</f>
        <v>2.8</v>
      </c>
      <c r="M34">
        <f t="shared" si="0"/>
        <v>90</v>
      </c>
      <c r="N34">
        <f>P34*Constants!$E$2</f>
        <v>2.04</v>
      </c>
      <c r="P34">
        <f t="shared" si="6"/>
        <v>1.2</v>
      </c>
      <c r="Q34">
        <f>P34*Constants!$B$3</f>
        <v>5.0399999999999991</v>
      </c>
      <c r="R34">
        <f t="shared" si="2"/>
        <v>2.9999999999999991</v>
      </c>
      <c r="S34">
        <f t="shared" si="3"/>
        <v>6.9999999999999991</v>
      </c>
      <c r="T34">
        <f>S34*Constants!$B$2</f>
        <v>19.599999999999998</v>
      </c>
      <c r="V34">
        <f t="shared" si="7"/>
        <v>0</v>
      </c>
      <c r="W34">
        <f t="shared" si="8"/>
        <v>0</v>
      </c>
      <c r="AA34" s="8"/>
      <c r="AJ34" s="4"/>
    </row>
    <row r="35" spans="1:36" x14ac:dyDescent="0.25">
      <c r="A35">
        <v>34</v>
      </c>
      <c r="B35">
        <v>7</v>
      </c>
      <c r="C35" t="s">
        <v>64</v>
      </c>
      <c r="D35" s="16" t="s">
        <v>109</v>
      </c>
      <c r="F35">
        <v>3.72</v>
      </c>
      <c r="G35">
        <v>90</v>
      </c>
      <c r="H35">
        <v>1.2</v>
      </c>
      <c r="I35">
        <f>2*(1.2+2.9)</f>
        <v>8.1999999999999993</v>
      </c>
      <c r="L35">
        <f>Constants!$B$2</f>
        <v>2.8</v>
      </c>
      <c r="M35">
        <f t="shared" si="0"/>
        <v>90</v>
      </c>
      <c r="N35">
        <f>P35*Constants!$E$2</f>
        <v>2.04</v>
      </c>
      <c r="P35">
        <f t="shared" si="6"/>
        <v>1.2</v>
      </c>
      <c r="Q35">
        <f>P35*Constants!$B$3</f>
        <v>5.0399999999999991</v>
      </c>
      <c r="R35">
        <f t="shared" si="2"/>
        <v>2.9999999999999991</v>
      </c>
      <c r="S35">
        <f t="shared" si="3"/>
        <v>6.9999999999999991</v>
      </c>
      <c r="T35">
        <f>S35*Constants!$B$2</f>
        <v>19.599999999999998</v>
      </c>
      <c r="V35">
        <f t="shared" si="7"/>
        <v>0</v>
      </c>
      <c r="W35">
        <f t="shared" si="8"/>
        <v>0</v>
      </c>
      <c r="AA35" s="8"/>
      <c r="AJ35" s="4"/>
    </row>
    <row r="36" spans="1:36" x14ac:dyDescent="0.25">
      <c r="A36">
        <v>35</v>
      </c>
      <c r="B36">
        <v>7</v>
      </c>
      <c r="C36" t="s">
        <v>62</v>
      </c>
      <c r="D36" s="16" t="s">
        <v>110</v>
      </c>
      <c r="F36">
        <v>104.01</v>
      </c>
      <c r="G36" t="s">
        <v>44</v>
      </c>
      <c r="H36">
        <v>0</v>
      </c>
      <c r="I36">
        <v>94.19</v>
      </c>
      <c r="L36">
        <f>Constants!$B$2</f>
        <v>2.8</v>
      </c>
      <c r="M36" t="str">
        <f t="shared" ref="M36" si="11">IF(N36&gt;0,G36,"N/A")</f>
        <v>N/A</v>
      </c>
      <c r="N36">
        <f>P36*Constants!$E$2</f>
        <v>0</v>
      </c>
      <c r="P36">
        <f t="shared" ref="P36" si="12">H36</f>
        <v>0</v>
      </c>
      <c r="Q36">
        <f>P36*Constants!$B$3</f>
        <v>0</v>
      </c>
      <c r="R36">
        <f t="shared" si="2"/>
        <v>0</v>
      </c>
      <c r="S36">
        <f t="shared" ref="S36" si="13">I36-P36</f>
        <v>94.19</v>
      </c>
      <c r="T36">
        <f>S36*Constants!$B$2</f>
        <v>263.73199999999997</v>
      </c>
      <c r="V36">
        <f t="shared" ref="V36" si="14">IF(B36="E",1,0)</f>
        <v>0</v>
      </c>
      <c r="W36">
        <f t="shared" ref="W36" si="15">IF(B36=10,1,0)</f>
        <v>0</v>
      </c>
      <c r="AA36" s="8"/>
      <c r="AJ36" s="4"/>
    </row>
    <row r="37" spans="1:36" x14ac:dyDescent="0.25">
      <c r="D37" s="15"/>
    </row>
    <row r="38" spans="1:36" x14ac:dyDescent="0.25">
      <c r="D38" s="15"/>
    </row>
    <row r="39" spans="1:36" x14ac:dyDescent="0.25">
      <c r="D39" s="15"/>
    </row>
    <row r="40" spans="1:36" x14ac:dyDescent="0.25">
      <c r="D40" s="15"/>
    </row>
    <row r="41" spans="1:36" x14ac:dyDescent="0.25">
      <c r="D41" s="15"/>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4"/>
    </row>
    <row r="447" spans="4:4" x14ac:dyDescent="0.25">
      <c r="D447" s="14"/>
    </row>
    <row r="448" spans="4:4" x14ac:dyDescent="0.25">
      <c r="D448" s="13"/>
    </row>
    <row r="449" spans="4:4" x14ac:dyDescent="0.25">
      <c r="D449" s="13"/>
    </row>
    <row r="450" spans="4:4" x14ac:dyDescent="0.25">
      <c r="D450" s="13"/>
    </row>
    <row r="451" spans="4:4" x14ac:dyDescent="0.25">
      <c r="D451" s="13"/>
    </row>
    <row r="452" spans="4:4" x14ac:dyDescent="0.25">
      <c r="D452" s="13"/>
    </row>
    <row r="453" spans="4:4" x14ac:dyDescent="0.25">
      <c r="D453" s="13"/>
    </row>
    <row r="454" spans="4:4" x14ac:dyDescent="0.25">
      <c r="D454" s="13"/>
    </row>
    <row r="455" spans="4:4" x14ac:dyDescent="0.25">
      <c r="D455" s="13"/>
    </row>
  </sheetData>
  <pageMargins left="0.7" right="0.7" top="0.78740157499999996" bottom="0.78740157499999996"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31</vt:i4>
      </vt:variant>
    </vt:vector>
  </HeadingPairs>
  <TitlesOfParts>
    <vt:vector size="31" baseType="lpstr">
      <vt:lpstr>GeneralNotes</vt:lpstr>
      <vt:lpstr>Usage_Types</vt:lpstr>
      <vt:lpstr>Orientation</vt:lpstr>
      <vt:lpstr>Constants</vt:lpstr>
      <vt:lpstr>B1</vt:lpstr>
      <vt:lpstr>B2</vt:lpstr>
      <vt:lpstr>C1</vt:lpstr>
      <vt:lpstr>C2</vt:lpstr>
      <vt:lpstr>01</vt:lpstr>
      <vt:lpstr>02</vt:lpstr>
      <vt:lpstr>03</vt:lpstr>
      <vt:lpstr>04</vt:lpstr>
      <vt:lpstr>05</vt:lpstr>
      <vt:lpstr>06</vt:lpstr>
      <vt:lpstr>07</vt:lpstr>
      <vt:lpstr>08</vt:lpstr>
      <vt:lpstr>09</vt:lpstr>
      <vt:lpstr>11</vt:lpstr>
      <vt:lpstr>12</vt:lpstr>
      <vt:lpstr>13</vt:lpstr>
      <vt:lpstr>14</vt:lpstr>
      <vt:lpstr>15</vt:lpstr>
      <vt:lpstr>16</vt:lpstr>
      <vt:lpstr>17</vt:lpstr>
      <vt:lpstr>18</vt:lpstr>
      <vt:lpstr>19</vt:lpstr>
      <vt:lpstr>20</vt:lpstr>
      <vt:lpstr>21</vt:lpstr>
      <vt:lpstr>22</vt:lpstr>
      <vt:lpstr>23</vt:lpstr>
      <vt:lpstr>24</vt:lpstr>
    </vt:vector>
  </TitlesOfParts>
  <Company>E.ON Energy Research Center</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Rahme, Lichaa-Antoine</dc:creator>
  <cp:lastModifiedBy>Raetz, Martin</cp:lastModifiedBy>
  <dcterms:created xsi:type="dcterms:W3CDTF">2018-12-06T14:07:49Z</dcterms:created>
  <dcterms:modified xsi:type="dcterms:W3CDTF">2020-05-12T15:51:56Z</dcterms:modified>
</cp:coreProperties>
</file>